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CEST2526\Collection Fund\CTAX\Budget Information\"/>
    </mc:Choice>
  </mc:AlternateContent>
  <xr:revisionPtr revIDLastSave="0" documentId="8_{40A5BCF1-2C5C-4C64-B1DA-C8E4A258F52B}" xr6:coauthVersionLast="47" xr6:coauthVersionMax="47" xr10:uidLastSave="{00000000-0000-0000-0000-000000000000}"/>
  <bookViews>
    <workbookView xWindow="-108" yWindow="-108" windowWidth="23256" windowHeight="12456" xr2:uid="{4E1F2CCD-251A-4AED-892F-711EF8F4A1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39" i="1"/>
  <c r="G35" i="1"/>
  <c r="C35" i="1"/>
  <c r="G21" i="1"/>
  <c r="F21" i="1"/>
  <c r="H21" i="1" s="1"/>
  <c r="D21" i="1"/>
  <c r="F20" i="1"/>
  <c r="H20" i="1" s="1"/>
  <c r="D20" i="1"/>
  <c r="G18" i="1"/>
  <c r="G23" i="1" s="1"/>
  <c r="C18" i="1"/>
  <c r="C23" i="1" s="1"/>
  <c r="B18" i="1"/>
  <c r="B23" i="1" s="1"/>
  <c r="H16" i="1"/>
  <c r="D16" i="1"/>
  <c r="H15" i="1"/>
  <c r="D15" i="1"/>
  <c r="F14" i="1"/>
  <c r="H14" i="1" s="1"/>
  <c r="D14" i="1"/>
  <c r="F13" i="1"/>
  <c r="H13" i="1" s="1"/>
  <c r="D13" i="1"/>
  <c r="F12" i="1"/>
  <c r="H12" i="1" s="1"/>
  <c r="D12" i="1"/>
  <c r="F11" i="1"/>
  <c r="H11" i="1" s="1"/>
  <c r="D11" i="1"/>
  <c r="F10" i="1"/>
  <c r="H10" i="1" s="1"/>
  <c r="D10" i="1"/>
  <c r="F9" i="1"/>
  <c r="H9" i="1" s="1"/>
  <c r="D9" i="1"/>
  <c r="F8" i="1"/>
  <c r="D8" i="1"/>
  <c r="F18" i="1" l="1"/>
  <c r="F23" i="1" s="1"/>
  <c r="D18" i="1"/>
  <c r="D23" i="1" s="1"/>
  <c r="B34" i="1" s="1"/>
  <c r="B37" i="1" s="1"/>
  <c r="H8" i="1"/>
  <c r="H18" i="1" s="1"/>
  <c r="H23" i="1" s="1"/>
  <c r="F34" i="1" s="1"/>
  <c r="C34" i="1" l="1"/>
  <c r="F37" i="1"/>
  <c r="G34" i="1"/>
  <c r="B45" i="1"/>
  <c r="C37" i="1"/>
  <c r="F45" i="1" l="1"/>
  <c r="G37" i="1"/>
  <c r="B48" i="1"/>
  <c r="F48" i="1" l="1"/>
</calcChain>
</file>

<file path=xl/sharedStrings.xml><?xml version="1.0" encoding="utf-8"?>
<sst xmlns="http://schemas.openxmlformats.org/spreadsheetml/2006/main" count="52" uniqueCount="39">
  <si>
    <t>Council Tax Budget Information: Newark and Sherwood District Council 2025/26 Financial Summary</t>
  </si>
  <si>
    <t>Our spending on services is as follows:</t>
  </si>
  <si>
    <t>2024/25 total spending</t>
  </si>
  <si>
    <t>2024/25 total income</t>
  </si>
  <si>
    <t>2024/25 spending less income</t>
  </si>
  <si>
    <t>2025/26 total spending</t>
  </si>
  <si>
    <t>2025/26 total income</t>
  </si>
  <si>
    <t>2025/26 spending less income</t>
  </si>
  <si>
    <t>At March 2024
£'000s</t>
  </si>
  <si>
    <t>At March 2025
£'000s</t>
  </si>
  <si>
    <t>Climate &amp; the Environment</t>
  </si>
  <si>
    <t>Health, Wellbeing &amp; Leisure</t>
  </si>
  <si>
    <t>Heritage, Culture &amp; the Arts</t>
  </si>
  <si>
    <t>Housing</t>
  </si>
  <si>
    <t>Strategy, Performance &amp; Finance</t>
  </si>
  <si>
    <t>Sustainable Economic Development</t>
  </si>
  <si>
    <t>Public Protection &amp; Community Relations</t>
  </si>
  <si>
    <t>Trent Valley Internal Drainage Board</t>
  </si>
  <si>
    <t>Upper Witham Internal Drainage Board</t>
  </si>
  <si>
    <t>Subtotal</t>
  </si>
  <si>
    <t>Reversal of capital charges</t>
  </si>
  <si>
    <t>Cash management</t>
  </si>
  <si>
    <t>Total</t>
  </si>
  <si>
    <t>This spend is paid for by Council Tax and other income, as follows:</t>
  </si>
  <si>
    <t>2024/25</t>
  </si>
  <si>
    <t>2025/26</t>
  </si>
  <si>
    <t>2022 mid-year estimate</t>
  </si>
  <si>
    <t>Population (Office for National Statistics (ONS))</t>
  </si>
  <si>
    <t>2023 mid-year estimate</t>
  </si>
  <si>
    <t>District Council</t>
  </si>
  <si>
    <t>Parish Councils</t>
  </si>
  <si>
    <t>Less: annual government grants</t>
  </si>
  <si>
    <t>Less: Non-Domestic Rates (NDR) (Business Rates)</t>
  </si>
  <si>
    <t>Less: Precepts collected from Parish Councils</t>
  </si>
  <si>
    <t>Less: Amount transferred (to)/from savings</t>
  </si>
  <si>
    <t>Council Tax (Surplus)/Deficit Adjustment</t>
  </si>
  <si>
    <t>Amount we need from Council Tax</t>
  </si>
  <si>
    <t>Representative number of band D properties (Council Tax Base)</t>
  </si>
  <si>
    <t>Newark &amp; Sherwood DC Band D Council Tax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</si>
</sst>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[Red]\(#,##0\)"/>
    <numFmt numFmtId="165" formatCode="#,##0.00;[Red]\(#,##0.00\)"/>
    <numFmt numFmtId="168" formatCode="#,##0.0000_);\(#,##0.0000\)"/>
  </numFmts>
  <fonts count="4" x14ac:knownFonts="1">
    <font>
      <sz val="11"/>
      <color theme="1"/>
      <name val="Aptos Narrow"/>
      <family val="2"/>
      <scheme val="minor"/>
    </font>
    <font>
      <b/>
      <u/>
      <sz val="12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theme="0" tint="-0.14993743705557422"/>
      </top>
      <bottom style="double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 style="double">
        <color theme="0" tint="-0.14996795556505021"/>
      </top>
      <bottom style="double">
        <color theme="0" tint="-0.1499679555650502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164" fontId="2" fillId="0" borderId="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5" fontId="2" fillId="0" borderId="2" xfId="0" applyNumberFormat="1" applyFont="1" applyBorder="1" applyAlignment="1">
      <alignment vertical="center"/>
    </xf>
    <xf numFmtId="165" fontId="3" fillId="0" borderId="3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165" fontId="3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168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D79DA-2CFA-4881-89F3-6B00260B6590}">
  <dimension ref="A1:L51"/>
  <sheetViews>
    <sheetView tabSelected="1" topLeftCell="A48" workbookViewId="0">
      <selection activeCell="A50" sqref="A50:XFD62"/>
    </sheetView>
  </sheetViews>
  <sheetFormatPr defaultColWidth="10.88671875" defaultRowHeight="15.6" x14ac:dyDescent="0.3"/>
  <cols>
    <col min="1" max="1" width="1.44140625" style="2" customWidth="1"/>
    <col min="2" max="4" width="14.21875" style="2" customWidth="1"/>
    <col min="5" max="5" width="46.33203125" style="2" customWidth="1"/>
    <col min="6" max="8" width="14.21875" style="2" customWidth="1"/>
    <col min="9" max="9" width="12.109375" style="2" bestFit="1" customWidth="1"/>
    <col min="10" max="10" width="10.88671875" style="2"/>
    <col min="11" max="11" width="12.21875" style="2" bestFit="1" customWidth="1"/>
    <col min="12" max="12" width="11.6640625" style="2" bestFit="1" customWidth="1"/>
    <col min="13" max="13" width="14.44140625" style="2" bestFit="1" customWidth="1"/>
    <col min="14" max="14" width="11.44140625" style="2" bestFit="1" customWidth="1"/>
    <col min="15" max="16384" width="10.88671875" style="2"/>
  </cols>
  <sheetData>
    <row r="1" spans="1:12" x14ac:dyDescent="0.3">
      <c r="A1" s="1"/>
      <c r="B1" s="1" t="s">
        <v>0</v>
      </c>
    </row>
    <row r="3" spans="1:12" x14ac:dyDescent="0.3">
      <c r="B3" s="2" t="s">
        <v>1</v>
      </c>
    </row>
    <row r="5" spans="1:12" ht="46.8" x14ac:dyDescent="0.3">
      <c r="B5" s="3" t="s">
        <v>2</v>
      </c>
      <c r="C5" s="3" t="s">
        <v>3</v>
      </c>
      <c r="D5" s="3" t="s">
        <v>4</v>
      </c>
      <c r="E5" s="4"/>
      <c r="F5" s="3" t="s">
        <v>5</v>
      </c>
      <c r="G5" s="3" t="s">
        <v>6</v>
      </c>
      <c r="H5" s="3" t="s">
        <v>7</v>
      </c>
    </row>
    <row r="6" spans="1:12" ht="31.2" x14ac:dyDescent="0.3">
      <c r="B6" s="5" t="s">
        <v>8</v>
      </c>
      <c r="C6" s="5" t="s">
        <v>8</v>
      </c>
      <c r="D6" s="5" t="s">
        <v>8</v>
      </c>
      <c r="E6" s="5"/>
      <c r="F6" s="5" t="s">
        <v>9</v>
      </c>
      <c r="G6" s="5" t="s">
        <v>9</v>
      </c>
      <c r="H6" s="5" t="s">
        <v>9</v>
      </c>
    </row>
    <row r="8" spans="1:12" x14ac:dyDescent="0.3">
      <c r="B8" s="6">
        <v>8323</v>
      </c>
      <c r="C8" s="6">
        <v>-3093</v>
      </c>
      <c r="D8" s="7">
        <f>SUM(B8:C8)</f>
        <v>5230</v>
      </c>
      <c r="E8" s="2" t="s">
        <v>10</v>
      </c>
      <c r="F8" s="6">
        <f>4218+3442-1</f>
        <v>7659</v>
      </c>
      <c r="G8" s="6">
        <v>-3303</v>
      </c>
      <c r="H8" s="7">
        <f>SUM(F8:G8)</f>
        <v>4356</v>
      </c>
    </row>
    <row r="9" spans="1:12" x14ac:dyDescent="0.3">
      <c r="B9" s="6">
        <v>2136</v>
      </c>
      <c r="C9" s="6">
        <v>-14</v>
      </c>
      <c r="D9" s="7">
        <f t="shared" ref="D9:D16" si="0">SUM(B9:C9)</f>
        <v>2122</v>
      </c>
      <c r="E9" s="8" t="s">
        <v>11</v>
      </c>
      <c r="F9" s="6">
        <f>551+1188</f>
        <v>1739</v>
      </c>
      <c r="G9" s="6">
        <v>-5</v>
      </c>
      <c r="H9" s="7">
        <f t="shared" ref="H9:H16" si="1">SUM(F9:G9)</f>
        <v>1734</v>
      </c>
    </row>
    <row r="10" spans="1:12" x14ac:dyDescent="0.3">
      <c r="B10" s="6">
        <v>2188</v>
      </c>
      <c r="C10" s="6">
        <v>-906</v>
      </c>
      <c r="D10" s="7">
        <f t="shared" si="0"/>
        <v>1282</v>
      </c>
      <c r="E10" s="8" t="s">
        <v>12</v>
      </c>
      <c r="F10" s="6">
        <f>1230+1187</f>
        <v>2417</v>
      </c>
      <c r="G10" s="6">
        <v>-1331</v>
      </c>
      <c r="H10" s="7">
        <f t="shared" si="1"/>
        <v>1086</v>
      </c>
    </row>
    <row r="11" spans="1:12" x14ac:dyDescent="0.3">
      <c r="B11" s="6">
        <v>2844</v>
      </c>
      <c r="C11" s="6">
        <v>-2333</v>
      </c>
      <c r="D11" s="7">
        <f t="shared" si="0"/>
        <v>511</v>
      </c>
      <c r="E11" s="8" t="s">
        <v>13</v>
      </c>
      <c r="F11" s="6">
        <f>1139+1260</f>
        <v>2399</v>
      </c>
      <c r="G11" s="6">
        <v>-1884</v>
      </c>
      <c r="H11" s="7">
        <f t="shared" si="1"/>
        <v>515</v>
      </c>
    </row>
    <row r="12" spans="1:12" x14ac:dyDescent="0.3">
      <c r="B12" s="6">
        <v>36514</v>
      </c>
      <c r="C12" s="6">
        <v>-26909</v>
      </c>
      <c r="D12" s="7">
        <f t="shared" si="0"/>
        <v>9605</v>
      </c>
      <c r="E12" s="8" t="s">
        <v>14</v>
      </c>
      <c r="F12" s="9">
        <f>9814+26100</f>
        <v>35914</v>
      </c>
      <c r="G12" s="6">
        <v>-25111</v>
      </c>
      <c r="H12" s="7">
        <f t="shared" si="1"/>
        <v>10803</v>
      </c>
    </row>
    <row r="13" spans="1:12" x14ac:dyDescent="0.3">
      <c r="B13" s="6">
        <v>3744</v>
      </c>
      <c r="C13" s="6">
        <v>-2010</v>
      </c>
      <c r="D13" s="7">
        <f t="shared" si="0"/>
        <v>1734</v>
      </c>
      <c r="E13" s="8" t="s">
        <v>15</v>
      </c>
      <c r="F13" s="9">
        <f>2669+790</f>
        <v>3459</v>
      </c>
      <c r="G13" s="6">
        <v>-1451</v>
      </c>
      <c r="H13" s="7">
        <f t="shared" si="1"/>
        <v>2008</v>
      </c>
    </row>
    <row r="14" spans="1:12" x14ac:dyDescent="0.3">
      <c r="B14" s="6">
        <v>3576</v>
      </c>
      <c r="C14" s="6">
        <v>-765</v>
      </c>
      <c r="D14" s="7">
        <f t="shared" si="0"/>
        <v>2811</v>
      </c>
      <c r="E14" s="8" t="s">
        <v>16</v>
      </c>
      <c r="F14" s="9">
        <f>2955+1228</f>
        <v>4183</v>
      </c>
      <c r="G14" s="6">
        <v>-671</v>
      </c>
      <c r="H14" s="7">
        <f t="shared" si="1"/>
        <v>3512</v>
      </c>
    </row>
    <row r="15" spans="1:12" x14ac:dyDescent="0.3">
      <c r="B15" s="9">
        <v>934</v>
      </c>
      <c r="C15" s="6"/>
      <c r="D15" s="7">
        <f t="shared" si="0"/>
        <v>934</v>
      </c>
      <c r="E15" s="8" t="s">
        <v>17</v>
      </c>
      <c r="F15" s="9">
        <v>936</v>
      </c>
      <c r="G15" s="6"/>
      <c r="H15" s="7">
        <f t="shared" si="1"/>
        <v>936</v>
      </c>
      <c r="L15" s="6"/>
    </row>
    <row r="16" spans="1:12" x14ac:dyDescent="0.3">
      <c r="B16" s="6">
        <v>16</v>
      </c>
      <c r="C16" s="6"/>
      <c r="D16" s="7">
        <f t="shared" si="0"/>
        <v>16</v>
      </c>
      <c r="E16" s="8" t="s">
        <v>18</v>
      </c>
      <c r="F16" s="6">
        <v>17</v>
      </c>
      <c r="G16" s="6"/>
      <c r="H16" s="7">
        <f t="shared" si="1"/>
        <v>17</v>
      </c>
    </row>
    <row r="17" spans="2:9" ht="16.2" thickBot="1" x14ac:dyDescent="0.35"/>
    <row r="18" spans="2:9" ht="16.8" thickTop="1" thickBot="1" x14ac:dyDescent="0.35">
      <c r="B18" s="10">
        <f>SUM(B8:B16)</f>
        <v>60275</v>
      </c>
      <c r="C18" s="10">
        <f>SUM(C8:C16)</f>
        <v>-36030</v>
      </c>
      <c r="D18" s="10">
        <f>SUM(D8:D16)</f>
        <v>24245</v>
      </c>
      <c r="E18" s="11" t="s">
        <v>19</v>
      </c>
      <c r="F18" s="10">
        <f>SUM(F8:F16)</f>
        <v>58723</v>
      </c>
      <c r="G18" s="10">
        <f t="shared" ref="G18:H18" si="2">SUM(G8:G16)</f>
        <v>-33756</v>
      </c>
      <c r="H18" s="10">
        <f t="shared" si="2"/>
        <v>24967</v>
      </c>
    </row>
    <row r="19" spans="2:9" ht="16.2" thickTop="1" x14ac:dyDescent="0.3"/>
    <row r="20" spans="2:9" x14ac:dyDescent="0.3">
      <c r="B20" s="6">
        <v>-4439</v>
      </c>
      <c r="C20" s="6">
        <v>930</v>
      </c>
      <c r="D20" s="7">
        <f t="shared" ref="D20" si="3">SUM(B20:C20)</f>
        <v>-3509</v>
      </c>
      <c r="E20" s="8" t="s">
        <v>20</v>
      </c>
      <c r="F20" s="6">
        <f>-3291-860</f>
        <v>-4151</v>
      </c>
      <c r="G20" s="6">
        <v>860</v>
      </c>
      <c r="H20" s="7">
        <f t="shared" ref="H20:H21" si="4">SUM(F20:G20)</f>
        <v>-3291</v>
      </c>
    </row>
    <row r="21" spans="2:9" x14ac:dyDescent="0.3">
      <c r="B21" s="6">
        <v>1766</v>
      </c>
      <c r="C21" s="6">
        <v>-2623</v>
      </c>
      <c r="D21" s="7">
        <f>SUM(B21:C21)</f>
        <v>-857</v>
      </c>
      <c r="E21" s="8" t="s">
        <v>21</v>
      </c>
      <c r="F21" s="6">
        <f>75+371+100+719+4+461</f>
        <v>1730</v>
      </c>
      <c r="G21" s="6">
        <f>-2005-500</f>
        <v>-2505</v>
      </c>
      <c r="H21" s="7">
        <f t="shared" si="4"/>
        <v>-775</v>
      </c>
    </row>
    <row r="22" spans="2:9" ht="16.2" thickBot="1" x14ac:dyDescent="0.35"/>
    <row r="23" spans="2:9" ht="16.8" thickTop="1" thickBot="1" x14ac:dyDescent="0.35">
      <c r="B23" s="10">
        <f t="shared" ref="B23:G23" si="5">SUM(B18, B20:B21)</f>
        <v>57602</v>
      </c>
      <c r="C23" s="10">
        <f t="shared" si="5"/>
        <v>-37723</v>
      </c>
      <c r="D23" s="10">
        <f>SUM(D18, D20:D21)</f>
        <v>19879</v>
      </c>
      <c r="E23" s="11" t="s">
        <v>22</v>
      </c>
      <c r="F23" s="10">
        <f t="shared" si="5"/>
        <v>56302</v>
      </c>
      <c r="G23" s="10">
        <f t="shared" si="5"/>
        <v>-35401</v>
      </c>
      <c r="H23" s="10">
        <f>SUM(H18, H20:H21)</f>
        <v>20901</v>
      </c>
    </row>
    <row r="24" spans="2:9" ht="16.2" thickTop="1" x14ac:dyDescent="0.3">
      <c r="B24" s="12"/>
      <c r="C24" s="12"/>
      <c r="D24" s="12"/>
      <c r="E24" s="12"/>
      <c r="F24" s="12"/>
      <c r="G24" s="12"/>
      <c r="H24" s="12"/>
      <c r="I24" s="13"/>
    </row>
    <row r="26" spans="2:9" x14ac:dyDescent="0.3">
      <c r="B26" s="2" t="s">
        <v>23</v>
      </c>
    </row>
    <row r="28" spans="2:9" x14ac:dyDescent="0.3">
      <c r="B28" s="14" t="s">
        <v>24</v>
      </c>
      <c r="F28" s="14" t="s">
        <v>25</v>
      </c>
    </row>
    <row r="29" spans="2:9" x14ac:dyDescent="0.3">
      <c r="B29" s="6">
        <v>125000</v>
      </c>
      <c r="C29" s="8" t="s">
        <v>26</v>
      </c>
      <c r="E29" s="8" t="s">
        <v>27</v>
      </c>
      <c r="F29" s="6">
        <v>126000</v>
      </c>
      <c r="G29" s="8" t="s">
        <v>28</v>
      </c>
    </row>
    <row r="31" spans="2:9" x14ac:dyDescent="0.3">
      <c r="B31" s="15" t="s">
        <v>24</v>
      </c>
      <c r="C31" s="15" t="s">
        <v>24</v>
      </c>
      <c r="F31" s="15" t="s">
        <v>25</v>
      </c>
      <c r="G31" s="15" t="s">
        <v>25</v>
      </c>
    </row>
    <row r="32" spans="2:9" ht="31.2" x14ac:dyDescent="0.3">
      <c r="B32" s="5" t="s">
        <v>8</v>
      </c>
      <c r="C32" s="5" t="s">
        <v>8</v>
      </c>
      <c r="D32" s="16"/>
      <c r="E32" s="16"/>
      <c r="F32" s="5" t="s">
        <v>9</v>
      </c>
      <c r="G32" s="5" t="s">
        <v>9</v>
      </c>
    </row>
    <row r="34" spans="2:12" x14ac:dyDescent="0.3">
      <c r="B34" s="6">
        <f>D23</f>
        <v>19879</v>
      </c>
      <c r="C34" s="17">
        <f>(B34*1000)/B$29</f>
        <v>159.03200000000001</v>
      </c>
      <c r="E34" s="8" t="s">
        <v>29</v>
      </c>
      <c r="F34" s="6">
        <f>H23</f>
        <v>20901</v>
      </c>
      <c r="G34" s="17">
        <f>(F34*1000)/F$29</f>
        <v>165.88095238095238</v>
      </c>
    </row>
    <row r="35" spans="2:12" x14ac:dyDescent="0.3">
      <c r="B35" s="6">
        <v>3881</v>
      </c>
      <c r="C35" s="17">
        <f>(B35*1000)/B$29</f>
        <v>31.047999999999998</v>
      </c>
      <c r="E35" s="8" t="s">
        <v>30</v>
      </c>
      <c r="F35" s="6">
        <v>4091</v>
      </c>
      <c r="G35" s="17">
        <f>(F35*1000)/F$29</f>
        <v>32.468253968253968</v>
      </c>
    </row>
    <row r="36" spans="2:12" ht="16.2" thickBot="1" x14ac:dyDescent="0.35"/>
    <row r="37" spans="2:12" ht="16.8" thickTop="1" thickBot="1" x14ac:dyDescent="0.35">
      <c r="B37" s="10">
        <f>SUM(B34:B35)</f>
        <v>23760</v>
      </c>
      <c r="C37" s="18">
        <f>(B37*1000)/B$29</f>
        <v>190.08</v>
      </c>
      <c r="E37" s="11" t="s">
        <v>22</v>
      </c>
      <c r="F37" s="10">
        <f>SUM(F34:F35)</f>
        <v>24992</v>
      </c>
      <c r="G37" s="18">
        <f>(F37*1000)/F$29</f>
        <v>198.34920634920636</v>
      </c>
      <c r="J37" s="19"/>
    </row>
    <row r="38" spans="2:12" ht="16.2" thickTop="1" x14ac:dyDescent="0.3"/>
    <row r="39" spans="2:12" x14ac:dyDescent="0.3">
      <c r="B39" s="6">
        <v>2494</v>
      </c>
      <c r="E39" s="8" t="s">
        <v>31</v>
      </c>
      <c r="F39" s="6">
        <f>287+321+142+205+119+987</f>
        <v>2061</v>
      </c>
      <c r="L39" s="6"/>
    </row>
    <row r="40" spans="2:12" x14ac:dyDescent="0.3">
      <c r="B40" s="6">
        <v>10010</v>
      </c>
      <c r="E40" s="8" t="s">
        <v>32</v>
      </c>
      <c r="F40" s="6">
        <f>10593+252</f>
        <v>10845</v>
      </c>
      <c r="L40" s="6"/>
    </row>
    <row r="41" spans="2:12" x14ac:dyDescent="0.3">
      <c r="B41" s="6">
        <v>3881</v>
      </c>
      <c r="E41" s="8" t="s">
        <v>33</v>
      </c>
      <c r="F41" s="6">
        <v>4091</v>
      </c>
      <c r="L41" s="6"/>
    </row>
    <row r="42" spans="2:12" x14ac:dyDescent="0.3">
      <c r="B42" s="6">
        <v>-794</v>
      </c>
      <c r="E42" s="8" t="s">
        <v>34</v>
      </c>
      <c r="F42" s="6">
        <v>-316</v>
      </c>
      <c r="L42" s="9"/>
    </row>
    <row r="43" spans="2:12" x14ac:dyDescent="0.3">
      <c r="B43" s="9">
        <v>117</v>
      </c>
      <c r="E43" s="2" t="s">
        <v>35</v>
      </c>
      <c r="F43" s="9">
        <v>174</v>
      </c>
    </row>
    <row r="44" spans="2:12" ht="16.2" thickBot="1" x14ac:dyDescent="0.35"/>
    <row r="45" spans="2:12" ht="16.8" thickTop="1" thickBot="1" x14ac:dyDescent="0.35">
      <c r="B45" s="10">
        <f>B37-SUM(B39:B42)+B43</f>
        <v>8286</v>
      </c>
      <c r="C45" s="20"/>
      <c r="D45" s="19"/>
      <c r="E45" s="21" t="s">
        <v>36</v>
      </c>
      <c r="F45" s="10">
        <f>F37-SUM(F39:F42)+F43-1</f>
        <v>8484</v>
      </c>
      <c r="G45" s="20"/>
    </row>
    <row r="46" spans="2:12" ht="16.2" thickTop="1" x14ac:dyDescent="0.3">
      <c r="B46" s="22"/>
      <c r="E46" s="23"/>
      <c r="F46" s="22"/>
    </row>
    <row r="47" spans="2:12" ht="31.8" thickBot="1" x14ac:dyDescent="0.35">
      <c r="B47" s="22">
        <v>42531.75</v>
      </c>
      <c r="E47" s="23" t="s">
        <v>37</v>
      </c>
      <c r="F47" s="22">
        <v>42720.659999999996</v>
      </c>
    </row>
    <row r="48" spans="2:12" ht="32.4" thickTop="1" thickBot="1" x14ac:dyDescent="0.35">
      <c r="B48" s="24">
        <f>B45*1000/B47</f>
        <v>194.81916450651573</v>
      </c>
      <c r="E48" s="25" t="s">
        <v>38</v>
      </c>
      <c r="F48" s="24">
        <f>F45*1000/F47+0.01</f>
        <v>198.60243747638731</v>
      </c>
      <c r="G48" s="24"/>
      <c r="H48" s="24"/>
      <c r="I48" s="24"/>
    </row>
    <row r="49" spans="2:9" ht="16.2" thickTop="1" x14ac:dyDescent="0.3">
      <c r="B49" s="22"/>
      <c r="E49" s="23"/>
      <c r="F49" s="22"/>
      <c r="I49" s="13"/>
    </row>
    <row r="51" spans="2:9" x14ac:dyDescent="0.3">
      <c r="G51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Wilson</dc:creator>
  <cp:lastModifiedBy>Nick Wilson</cp:lastModifiedBy>
  <dcterms:created xsi:type="dcterms:W3CDTF">2025-03-04T11:52:19Z</dcterms:created>
  <dcterms:modified xsi:type="dcterms:W3CDTF">2025-03-04T11:52:46Z</dcterms:modified>
</cp:coreProperties>
</file>