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Program Files (x86)\Mimecast\PATI\temp\f168e166-6590-4b3d-bccd-d5863ce6216e\"/>
    </mc:Choice>
  </mc:AlternateContent>
  <bookViews>
    <workbookView xWindow="-105" yWindow="-105" windowWidth="19440" windowHeight="12570" tabRatio="741" firstSheet="1" activeTab="1"/>
  </bookViews>
  <sheets>
    <sheet name="Introduction" sheetId="101" state="hidden" r:id="rId1"/>
    <sheet name="Start" sheetId="96" r:id="rId2"/>
    <sheet name="Instructions" sheetId="89" state="hidden" r:id="rId3"/>
    <sheet name="Main Menu" sheetId="78" r:id="rId4"/>
    <sheet name="Results" sheetId="79" r:id="rId5"/>
    <sheet name="Headline Results" sheetId="73" r:id="rId6"/>
    <sheet name="Detailed Results" sheetId="36" state="hidden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state="hidden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52511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</workbook>
</file>

<file path=xl/calcChain.xml><?xml version="1.0" encoding="utf-8"?>
<calcChain xmlns="http://schemas.openxmlformats.org/spreadsheetml/2006/main"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A170" i="22"/>
  <c r="A169" i="22"/>
  <c r="E171" i="22" l="1"/>
  <c r="C164" i="36" s="1"/>
  <c r="W171" i="22"/>
  <c r="V171" i="22"/>
  <c r="U171" i="22"/>
  <c r="X171" i="22"/>
  <c r="T171" i="22"/>
  <c r="D184" i="36" s="1"/>
  <c r="H184" i="36" s="1"/>
  <c r="V172" i="22"/>
  <c r="U172" i="22"/>
  <c r="X172" i="22"/>
  <c r="T172" i="22"/>
  <c r="D185" i="36" s="1"/>
  <c r="H185" i="36" s="1"/>
  <c r="W172" i="22"/>
  <c r="K169" i="22"/>
  <c r="U169" i="22"/>
  <c r="X169" i="22"/>
  <c r="T169" i="22"/>
  <c r="D182" i="36" s="1"/>
  <c r="W169" i="22"/>
  <c r="V169" i="22"/>
  <c r="U173" i="22"/>
  <c r="X173" i="22"/>
  <c r="T173" i="22"/>
  <c r="D186" i="36" s="1"/>
  <c r="W173" i="22"/>
  <c r="V173" i="22"/>
  <c r="X170" i="22"/>
  <c r="T170" i="22"/>
  <c r="D183" i="36" s="1"/>
  <c r="H183" i="36" s="1"/>
  <c r="W170" i="22"/>
  <c r="V170" i="22"/>
  <c r="U170" i="22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2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S147" i="22" s="1"/>
  <c r="C119" i="36" s="1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L155" i="22"/>
  <c r="L150" i="22"/>
  <c r="K154" i="22"/>
  <c r="K147" i="22"/>
  <c r="G155" i="22"/>
  <c r="G152" i="22"/>
  <c r="E155" i="22"/>
  <c r="C107" i="36" s="1"/>
  <c r="E152" i="22"/>
  <c r="C104" i="36" s="1"/>
  <c r="E147" i="22"/>
  <c r="C99" i="36" s="1"/>
  <c r="E153" i="22" l="1"/>
  <c r="C105" i="36" s="1"/>
  <c r="G153" i="22"/>
  <c r="K153" i="22"/>
  <c r="L153" i="22"/>
  <c r="E151" i="22"/>
  <c r="C103" i="36" s="1"/>
  <c r="G147" i="22"/>
  <c r="I155" i="22"/>
  <c r="K155" i="22"/>
  <c r="L152" i="22"/>
  <c r="K152" i="22"/>
  <c r="G156" i="22"/>
  <c r="T151" i="22"/>
  <c r="D123" i="36" s="1"/>
  <c r="C147" i="36"/>
  <c r="E157" i="22"/>
  <c r="C109" i="36" s="1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U156" i="22"/>
  <c r="X148" i="22"/>
  <c r="U148" i="22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Y131" i="58" s="1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I169" i="58"/>
  <c r="X169" i="58"/>
  <c r="I188" i="58"/>
  <c r="X188" i="58"/>
  <c r="I194" i="58"/>
  <c r="X194" i="58"/>
  <c r="X202" i="58"/>
  <c r="Y202" i="58" s="1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161" i="58" l="1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W175" i="42" s="1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P15" i="42"/>
  <c r="P14" i="42"/>
  <c r="U16" i="42"/>
  <c r="P16" i="42"/>
  <c r="R16" i="42"/>
  <c r="P13" i="42"/>
  <c r="U13" i="42" s="1"/>
  <c r="R13" i="42"/>
  <c r="N11" i="52"/>
  <c r="N14" i="52"/>
  <c r="R12" i="58"/>
  <c r="W147" i="22" s="1"/>
  <c r="P12" i="42"/>
  <c r="Q12" i="42" s="1"/>
  <c r="R227" i="55"/>
  <c r="X12" i="58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H156" i="22" l="1"/>
  <c r="U14" i="52"/>
  <c r="U12" i="52"/>
  <c r="F156" i="22"/>
  <c r="D108" i="36" s="1"/>
  <c r="D148" i="36" s="1"/>
  <c r="H148" i="22"/>
  <c r="H155" i="22"/>
  <c r="F155" i="22"/>
  <c r="D107" i="36" s="1"/>
  <c r="D147" i="36" s="1"/>
  <c r="R12" i="42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R12" i="53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J147" i="22" s="1"/>
  <c r="D139" i="36"/>
  <c r="D140" i="36"/>
  <c r="H153" i="22"/>
  <c r="H15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E13" i="53" s="1"/>
  <c r="AF13" i="53" s="1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1" i="67" l="1"/>
  <c r="V243" i="67"/>
  <c r="V235" i="67"/>
  <c r="V227" i="67"/>
  <c r="V219" i="67"/>
  <c r="V211" i="67"/>
  <c r="V203" i="67"/>
  <c r="V195" i="67"/>
  <c r="V187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11" i="6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V256" i="63" l="1"/>
  <c r="V252" i="63"/>
  <c r="V248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V32" i="63"/>
  <c r="V28" i="63"/>
  <c r="V24" i="63"/>
  <c r="V20" i="63"/>
  <c r="V16" i="63"/>
  <c r="V12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AX15" i="69" l="1"/>
  <c r="X31" i="53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7" i="69" l="1"/>
  <c r="AF18" i="65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F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A53" i="53" l="1"/>
  <c r="AB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X56" i="53" l="1"/>
  <c r="AA55" i="53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P18" i="11" l="1"/>
  <c r="W18" i="11" s="1"/>
  <c r="S15" i="46"/>
  <c r="V15" i="46"/>
  <c r="W15" i="46" s="1"/>
  <c r="X15" i="46" s="1"/>
  <c r="S14" i="46"/>
  <c r="V14" i="46"/>
  <c r="W14" i="46" s="1"/>
  <c r="X14" i="46" s="1"/>
  <c r="AF64" i="53"/>
  <c r="AA64" i="53"/>
  <c r="V13" i="46"/>
  <c r="W13" i="46" s="1"/>
  <c r="X13" i="46" s="1"/>
  <c r="T136" i="46"/>
  <c r="T247" i="71"/>
  <c r="T142" i="71"/>
  <c r="T79" i="46"/>
  <c r="Y79" i="46" s="1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AA111" i="71" s="1"/>
  <c r="T246" i="46"/>
  <c r="T174" i="71"/>
  <c r="AA174" i="71" s="1"/>
  <c r="T43" i="71"/>
  <c r="AA43" i="71" s="1"/>
  <c r="T31" i="71"/>
  <c r="T235" i="46"/>
  <c r="Y235" i="46" s="1"/>
  <c r="T250" i="71"/>
  <c r="AA250" i="71" s="1"/>
  <c r="T48" i="46"/>
  <c r="Y48" i="46" s="1"/>
  <c r="T167" i="46"/>
  <c r="T28" i="71"/>
  <c r="T181" i="71"/>
  <c r="AA181" i="71" s="1"/>
  <c r="T91" i="46"/>
  <c r="Y91" i="46" s="1"/>
  <c r="T164" i="46"/>
  <c r="T185" i="71"/>
  <c r="AA185" i="71" s="1"/>
  <c r="T205" i="46"/>
  <c r="Y205" i="46" s="1"/>
  <c r="T39" i="71"/>
  <c r="AA39" i="71" s="1"/>
  <c r="T38" i="46"/>
  <c r="Y38" i="46" s="1"/>
  <c r="T123" i="46"/>
  <c r="Y123" i="46" s="1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AA32" i="71" s="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AA196" i="71" s="1"/>
  <c r="T118" i="71"/>
  <c r="AA118" i="71" s="1"/>
  <c r="T209" i="46"/>
  <c r="Y209" i="46" s="1"/>
  <c r="T120" i="71"/>
  <c r="T100" i="71"/>
  <c r="AA100" i="71" s="1"/>
  <c r="T51" i="71"/>
  <c r="AA51" i="71" s="1"/>
  <c r="T228" i="71"/>
  <c r="AA228" i="71" s="1"/>
  <c r="T233" i="71"/>
  <c r="T72" i="46"/>
  <c r="T63" i="71"/>
  <c r="AA63" i="71" s="1"/>
  <c r="T173" i="71"/>
  <c r="AA173" i="71" s="1"/>
  <c r="T160" i="46"/>
  <c r="Y160" i="46" s="1"/>
  <c r="T197" i="46"/>
  <c r="Y197" i="46" s="1"/>
  <c r="T150" i="46"/>
  <c r="Y150" i="46" s="1"/>
  <c r="T153" i="46"/>
  <c r="Y153" i="46" s="1"/>
  <c r="T12" i="71"/>
  <c r="T26" i="71"/>
  <c r="AA26" i="71" s="1"/>
  <c r="T209" i="71"/>
  <c r="AA209" i="71" s="1"/>
  <c r="T175" i="71"/>
  <c r="AA175" i="71" s="1"/>
  <c r="T69" i="46"/>
  <c r="Y69" i="46" s="1"/>
  <c r="T93" i="71"/>
  <c r="AA93" i="71" s="1"/>
  <c r="T190" i="46"/>
  <c r="Y190" i="46" s="1"/>
  <c r="T186" i="46"/>
  <c r="Y186" i="46" s="1"/>
  <c r="T92" i="46"/>
  <c r="T180" i="71"/>
  <c r="AA180" i="71" s="1"/>
  <c r="T87" i="71"/>
  <c r="AA87" i="71" s="1"/>
  <c r="T81" i="71"/>
  <c r="AA81" i="71" s="1"/>
  <c r="T118" i="46"/>
  <c r="Y118" i="46" s="1"/>
  <c r="T196" i="46"/>
  <c r="T57" i="46"/>
  <c r="Y57" i="46" s="1"/>
  <c r="T96" i="46"/>
  <c r="Y96" i="46" s="1"/>
  <c r="T40" i="46"/>
  <c r="Y40" i="46" s="1"/>
  <c r="T105" i="71"/>
  <c r="AA105" i="71" s="1"/>
  <c r="T24" i="71"/>
  <c r="AA24" i="71" s="1"/>
  <c r="T207" i="46"/>
  <c r="Y207" i="46" s="1"/>
  <c r="T103" i="46"/>
  <c r="T198" i="71"/>
  <c r="T141" i="46"/>
  <c r="Y141" i="46" s="1"/>
  <c r="T134" i="71"/>
  <c r="AA134" i="71" s="1"/>
  <c r="T36" i="71"/>
  <c r="T110" i="46"/>
  <c r="T231" i="46"/>
  <c r="Y231" i="46" s="1"/>
  <c r="T111" i="46"/>
  <c r="Y111" i="46" s="1"/>
  <c r="T37" i="46"/>
  <c r="T117" i="71"/>
  <c r="AA117" i="71" s="1"/>
  <c r="T41" i="46"/>
  <c r="Y41" i="46" s="1"/>
  <c r="T160" i="71"/>
  <c r="AA160" i="71" s="1"/>
  <c r="T39" i="46"/>
  <c r="T66" i="46"/>
  <c r="Y66" i="46" s="1"/>
  <c r="T165" i="46"/>
  <c r="Y165" i="46" s="1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AA194" i="71" s="1"/>
  <c r="T68" i="46"/>
  <c r="Y68" i="46" s="1"/>
  <c r="T246" i="71"/>
  <c r="AA246" i="71" s="1"/>
  <c r="T148" i="71"/>
  <c r="T243" i="46"/>
  <c r="Y243" i="46" s="1"/>
  <c r="T208" i="71"/>
  <c r="AA208" i="71" s="1"/>
  <c r="T133" i="71"/>
  <c r="AA133" i="71" s="1"/>
  <c r="T95" i="71"/>
  <c r="T170" i="46"/>
  <c r="T154" i="46"/>
  <c r="Y154" i="46" s="1"/>
  <c r="T65" i="46"/>
  <c r="Y65" i="46" s="1"/>
  <c r="T63" i="46"/>
  <c r="Y63" i="46" s="1"/>
  <c r="T73" i="71"/>
  <c r="T88" i="46"/>
  <c r="Y88" i="46" s="1"/>
  <c r="T109" i="71"/>
  <c r="AA109" i="71" s="1"/>
  <c r="T219" i="71"/>
  <c r="AA219" i="71" s="1"/>
  <c r="T74" i="71"/>
  <c r="AA74" i="71" s="1"/>
  <c r="T182" i="46"/>
  <c r="Y182" i="46" s="1"/>
  <c r="T185" i="46"/>
  <c r="Y185" i="46" s="1"/>
  <c r="T71" i="71"/>
  <c r="T67" i="71"/>
  <c r="AA67" i="71" s="1"/>
  <c r="T19" i="71"/>
  <c r="T204" i="71"/>
  <c r="AA204" i="71" s="1"/>
  <c r="T93" i="46"/>
  <c r="T223" i="71"/>
  <c r="AA223" i="71" s="1"/>
  <c r="T51" i="46"/>
  <c r="T235" i="71"/>
  <c r="AA235" i="71" s="1"/>
  <c r="T152" i="46"/>
  <c r="Y152" i="46" s="1"/>
  <c r="T255" i="71"/>
  <c r="AA255" i="71" s="1"/>
  <c r="T212" i="71"/>
  <c r="AA212" i="71" s="1"/>
  <c r="T140" i="71"/>
  <c r="AA140" i="71" s="1"/>
  <c r="T95" i="46"/>
  <c r="T241" i="71"/>
  <c r="AA241" i="71" s="1"/>
  <c r="T83" i="46"/>
  <c r="Y83" i="46" s="1"/>
  <c r="T131" i="71"/>
  <c r="AA131" i="71" s="1"/>
  <c r="T218" i="71"/>
  <c r="T234" i="46"/>
  <c r="Y234" i="46" s="1"/>
  <c r="T201" i="46"/>
  <c r="Y201" i="46" s="1"/>
  <c r="T222" i="71"/>
  <c r="AA222" i="71" s="1"/>
  <c r="T98" i="71"/>
  <c r="T171" i="71"/>
  <c r="T244" i="46"/>
  <c r="Y244" i="46" s="1"/>
  <c r="T174" i="46"/>
  <c r="Y174" i="46" s="1"/>
  <c r="T184" i="71"/>
  <c r="AA184" i="71" s="1"/>
  <c r="T75" i="46"/>
  <c r="Y75" i="46" s="1"/>
  <c r="T145" i="46"/>
  <c r="Y145" i="46" s="1"/>
  <c r="T158" i="71"/>
  <c r="AA158" i="71" s="1"/>
  <c r="T200" i="46"/>
  <c r="T27" i="71"/>
  <c r="AA27" i="71" s="1"/>
  <c r="T112" i="46"/>
  <c r="T134" i="46"/>
  <c r="Y134" i="46" s="1"/>
  <c r="T44" i="71"/>
  <c r="T155" i="71"/>
  <c r="AA155" i="71" s="1"/>
  <c r="T187" i="46"/>
  <c r="Y187" i="46" s="1"/>
  <c r="T188" i="46"/>
  <c r="Y188" i="46" s="1"/>
  <c r="T84" i="71"/>
  <c r="T72" i="71"/>
  <c r="AA72" i="71" s="1"/>
  <c r="T23" i="71"/>
  <c r="T210" i="71"/>
  <c r="AA210" i="71" s="1"/>
  <c r="T14" i="71"/>
  <c r="T46" i="46"/>
  <c r="Y46" i="46" s="1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Y54" i="46" s="1"/>
  <c r="T205" i="71"/>
  <c r="T123" i="71"/>
  <c r="AA123" i="71" s="1"/>
  <c r="T49" i="71"/>
  <c r="AA49" i="71" s="1"/>
  <c r="T115" i="46"/>
  <c r="Y115" i="46" s="1"/>
  <c r="T116" i="46"/>
  <c r="Y116" i="46" s="1"/>
  <c r="T183" i="71"/>
  <c r="AA183" i="71" s="1"/>
  <c r="T104" i="46"/>
  <c r="T153" i="71"/>
  <c r="AA153" i="71" s="1"/>
  <c r="T136" i="71"/>
  <c r="AA136" i="71" s="1"/>
  <c r="T61" i="46"/>
  <c r="Y61" i="46" s="1"/>
  <c r="T109" i="46"/>
  <c r="T214" i="46"/>
  <c r="Y214" i="46" s="1"/>
  <c r="T217" i="46"/>
  <c r="Y217" i="46" s="1"/>
  <c r="T150" i="71"/>
  <c r="AA150" i="71" s="1"/>
  <c r="T104" i="71"/>
  <c r="T64" i="71"/>
  <c r="AA64" i="71" s="1"/>
  <c r="T239" i="71"/>
  <c r="AA239" i="71" s="1"/>
  <c r="T97" i="46"/>
  <c r="Y97" i="46" s="1"/>
  <c r="T132" i="46"/>
  <c r="Y132" i="46" s="1"/>
  <c r="T191" i="71"/>
  <c r="AA191" i="71" s="1"/>
  <c r="T202" i="46"/>
  <c r="Y202" i="46" s="1"/>
  <c r="T161" i="46"/>
  <c r="Y161" i="46" s="1"/>
  <c r="T240" i="46"/>
  <c r="T57" i="71"/>
  <c r="AA57" i="71" s="1"/>
  <c r="T56" i="46"/>
  <c r="Y56" i="46" s="1"/>
  <c r="T190" i="71"/>
  <c r="AA190" i="71" s="1"/>
  <c r="T88" i="71"/>
  <c r="T142" i="46"/>
  <c r="T80" i="46"/>
  <c r="T208" i="46"/>
  <c r="Y208" i="46" s="1"/>
  <c r="T206" i="46"/>
  <c r="Y206" i="46" s="1"/>
  <c r="T199" i="46"/>
  <c r="Y199" i="46" s="1"/>
  <c r="T169" i="71"/>
  <c r="AA169" i="71" s="1"/>
  <c r="T125" i="46"/>
  <c r="Y125" i="46" s="1"/>
  <c r="T48" i="71"/>
  <c r="T223" i="46"/>
  <c r="T105" i="46"/>
  <c r="Y105" i="46" s="1"/>
  <c r="T98" i="46"/>
  <c r="Y98" i="46" s="1"/>
  <c r="T135" i="46"/>
  <c r="Y135" i="46" s="1"/>
  <c r="T245" i="46"/>
  <c r="Y245" i="46" s="1"/>
  <c r="T177" i="71"/>
  <c r="AA177" i="71" s="1"/>
  <c r="T40" i="71"/>
  <c r="T64" i="46"/>
  <c r="T198" i="46"/>
  <c r="Y198" i="46" s="1"/>
  <c r="T237" i="71"/>
  <c r="AA237" i="71" s="1"/>
  <c r="T77" i="46"/>
  <c r="Y77" i="46" s="1"/>
  <c r="T120" i="46"/>
  <c r="T219" i="46"/>
  <c r="Y219" i="46" s="1"/>
  <c r="T220" i="46"/>
  <c r="Y220" i="46" s="1"/>
  <c r="T152" i="71"/>
  <c r="AA152" i="71" s="1"/>
  <c r="T116" i="71"/>
  <c r="T69" i="71"/>
  <c r="T240" i="71"/>
  <c r="AA240" i="71" s="1"/>
  <c r="T127" i="71"/>
  <c r="AA127" i="71" s="1"/>
  <c r="T62" i="46"/>
  <c r="T229" i="71"/>
  <c r="AA229" i="71" s="1"/>
  <c r="T139" i="71"/>
  <c r="AA139" i="71" s="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Y70" i="46" s="1"/>
  <c r="T248" i="71"/>
  <c r="AA248" i="71" s="1"/>
  <c r="T168" i="71"/>
  <c r="AA168" i="71" s="1"/>
  <c r="T149" i="46"/>
  <c r="Y149" i="46" s="1"/>
  <c r="T181" i="46"/>
  <c r="Y181" i="46" s="1"/>
  <c r="T147" i="46"/>
  <c r="Y147" i="46" s="1"/>
  <c r="T148" i="46"/>
  <c r="T252" i="71"/>
  <c r="AA252" i="71" s="1"/>
  <c r="T20" i="71"/>
  <c r="T202" i="71"/>
  <c r="AA202" i="71" s="1"/>
  <c r="T170" i="71"/>
  <c r="T151" i="46"/>
  <c r="T173" i="46"/>
  <c r="Y173" i="46" s="1"/>
  <c r="T253" i="46"/>
  <c r="Y253" i="46" s="1"/>
  <c r="T251" i="46"/>
  <c r="T242" i="71"/>
  <c r="T159" i="71"/>
  <c r="AA159" i="71" s="1"/>
  <c r="T101" i="71"/>
  <c r="AA101" i="71" s="1"/>
  <c r="T37" i="71"/>
  <c r="T157" i="46"/>
  <c r="Y157" i="46" s="1"/>
  <c r="T42" i="46"/>
  <c r="Y42" i="46" s="1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Y189" i="46" s="1"/>
  <c r="T231" i="71"/>
  <c r="AA231" i="71" s="1"/>
  <c r="T59" i="46"/>
  <c r="Y59" i="46" s="1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AA189" i="71" s="1"/>
  <c r="T117" i="46"/>
  <c r="Y117" i="46" s="1"/>
  <c r="T133" i="46"/>
  <c r="Y133" i="46" s="1"/>
  <c r="T139" i="46"/>
  <c r="Y139" i="46" s="1"/>
  <c r="T140" i="46"/>
  <c r="Y140" i="46" s="1"/>
  <c r="T236" i="71"/>
  <c r="AA236" i="71" s="1"/>
  <c r="T13" i="71"/>
  <c r="T188" i="71"/>
  <c r="AA188" i="71" s="1"/>
  <c r="T163" i="71"/>
  <c r="AA163" i="71" s="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Y180" i="46" s="1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AA76" i="71" s="1"/>
  <c r="T58" i="46"/>
  <c r="Y58" i="46" s="1"/>
  <c r="T214" i="71"/>
  <c r="AA214" i="71" s="1"/>
  <c r="T129" i="71"/>
  <c r="AA129" i="71" s="1"/>
  <c r="T222" i="46"/>
  <c r="Y222" i="46" s="1"/>
  <c r="T167" i="71"/>
  <c r="AA167" i="71" s="1"/>
  <c r="T172" i="71"/>
  <c r="AA172" i="71" s="1"/>
  <c r="T121" i="71"/>
  <c r="AA121" i="71" s="1"/>
  <c r="T130" i="46"/>
  <c r="Y130" i="46" s="1"/>
  <c r="T177" i="46"/>
  <c r="Y177" i="46" s="1"/>
  <c r="T226" i="46"/>
  <c r="Y226" i="46" s="1"/>
  <c r="T121" i="46"/>
  <c r="Y121" i="46" s="1"/>
  <c r="T144" i="46"/>
  <c r="Y144" i="46" s="1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S16" i="46" s="1"/>
  <c r="R32" i="46"/>
  <c r="S32" i="46" s="1"/>
  <c r="R25" i="46"/>
  <c r="S25" i="46" s="1"/>
  <c r="R17" i="46"/>
  <c r="S17" i="46" s="1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T254" i="71"/>
  <c r="X254" i="71"/>
  <c r="X12" i="46"/>
  <c r="D94" i="22"/>
  <c r="P13" i="11"/>
  <c r="W13" i="11" s="1"/>
  <c r="AA198" i="71"/>
  <c r="AA36" i="71"/>
  <c r="AA224" i="71"/>
  <c r="AA176" i="71"/>
  <c r="AA119" i="71"/>
  <c r="AA148" i="71"/>
  <c r="AA95" i="71"/>
  <c r="AA73" i="71"/>
  <c r="AA71" i="71"/>
  <c r="AA88" i="71"/>
  <c r="AA218" i="71"/>
  <c r="AA98" i="71"/>
  <c r="AA171" i="71"/>
  <c r="AA44" i="71"/>
  <c r="AA84" i="71"/>
  <c r="AA53" i="71"/>
  <c r="AA68" i="71"/>
  <c r="AA205" i="71"/>
  <c r="AA104" i="71"/>
  <c r="AA48" i="71"/>
  <c r="AA40" i="71"/>
  <c r="AA116" i="71"/>
  <c r="AA69" i="71"/>
  <c r="AA135" i="71"/>
  <c r="AA197" i="71"/>
  <c r="AA170" i="71"/>
  <c r="AA242" i="71"/>
  <c r="AA221" i="71"/>
  <c r="AA82" i="71"/>
  <c r="AA112" i="71"/>
  <c r="AA41" i="71"/>
  <c r="AA79" i="71"/>
  <c r="AA37" i="71"/>
  <c r="AA247" i="71"/>
  <c r="AA142" i="71"/>
  <c r="AA38" i="71"/>
  <c r="AA206" i="71"/>
  <c r="AA126" i="71"/>
  <c r="AA199" i="71"/>
  <c r="AA124" i="71"/>
  <c r="AA31" i="71"/>
  <c r="AA28" i="71"/>
  <c r="AA90" i="71"/>
  <c r="AA80" i="71"/>
  <c r="AA120" i="71"/>
  <c r="AA233" i="71"/>
  <c r="Y196" i="46"/>
  <c r="Y103" i="46"/>
  <c r="Y110" i="46"/>
  <c r="Y37" i="46"/>
  <c r="Y39" i="46"/>
  <c r="Y155" i="46"/>
  <c r="Y225" i="46"/>
  <c r="Y170" i="46"/>
  <c r="Y95" i="46"/>
  <c r="Y200" i="46"/>
  <c r="Y112" i="46"/>
  <c r="Y53" i="46"/>
  <c r="Y138" i="46"/>
  <c r="Y49" i="46"/>
  <c r="Y104" i="46"/>
  <c r="Y109" i="46"/>
  <c r="Y142" i="46"/>
  <c r="Y80" i="46"/>
  <c r="Y223" i="46"/>
  <c r="Y64" i="46"/>
  <c r="Y120" i="46"/>
  <c r="Y62" i="46"/>
  <c r="Y107" i="46"/>
  <c r="Y148" i="46"/>
  <c r="Y151" i="46"/>
  <c r="Y251" i="46"/>
  <c r="Y252" i="46"/>
  <c r="Y166" i="46"/>
  <c r="Y162" i="46"/>
  <c r="Y184" i="46"/>
  <c r="Y136" i="46"/>
  <c r="Y93" i="46"/>
  <c r="Y51" i="46"/>
  <c r="Y92" i="46"/>
  <c r="Y240" i="46"/>
  <c r="Y210" i="46"/>
  <c r="Y143" i="46"/>
  <c r="Y113" i="46"/>
  <c r="Y246" i="46"/>
  <c r="Y167" i="46"/>
  <c r="Y164" i="46"/>
  <c r="Y124" i="46"/>
  <c r="Y227" i="46"/>
  <c r="Y193" i="46"/>
  <c r="Y194" i="46"/>
  <c r="Y52" i="46"/>
  <c r="Y72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W19" i="11" l="1"/>
  <c r="X21" i="46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17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16" i="46"/>
  <c r="T21" i="46"/>
  <c r="T17" i="46"/>
  <c r="Y17" i="46" s="1"/>
  <c r="L107" i="22" s="1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26" i="46" l="1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F95" i="22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F65" i="22" s="1"/>
  <c r="F34" i="22" l="1"/>
  <c r="AC75" i="1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F8" i="22" s="1"/>
  <c r="AC12" i="11"/>
  <c r="Q12" i="11" s="1"/>
  <c r="F75" i="22" s="1"/>
  <c r="Q15" i="11" l="1"/>
  <c r="F23" i="22" s="1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15" i="11" l="1"/>
  <c r="AQ15" i="11" s="1"/>
  <c r="X79" i="53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A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B109" i="53" l="1"/>
  <c r="AF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X161" i="53" l="1"/>
  <c r="AF161" i="53" s="1"/>
  <c r="AF160" i="53"/>
  <c r="AB160" i="53"/>
  <c r="AI99" i="50"/>
  <c r="AP99" i="50" s="1"/>
  <c r="AF145" i="65"/>
  <c r="AE145" i="65"/>
  <c r="AE162" i="57"/>
  <c r="R162" i="57"/>
  <c r="AE162" i="53"/>
  <c r="R162" i="53"/>
  <c r="AG100" i="50"/>
  <c r="AH100" i="50" s="1"/>
  <c r="AL100" i="50"/>
  <c r="AB159" i="57"/>
  <c r="AF159" i="57"/>
  <c r="AG145" i="69"/>
  <c r="AG144" i="65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AA161" i="53" l="1"/>
  <c r="AB161" i="53"/>
  <c r="X162" i="53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L33" i="32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90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90" i="22" s="1"/>
  <c r="AX54" i="22" s="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B254" i="53" l="1"/>
  <c r="AF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A256" i="53" l="1"/>
  <c r="AB256" i="53"/>
  <c r="AI185" i="32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AI187" i="32" l="1"/>
  <c r="AN187" i="32" s="1"/>
  <c r="AI197" i="50"/>
  <c r="AP197" i="50" s="1"/>
  <c r="AF243" i="65"/>
  <c r="AE243" i="65"/>
  <c r="AG198" i="50"/>
  <c r="AH198" i="50" s="1"/>
  <c r="AL198" i="50"/>
  <c r="AB257" i="57"/>
  <c r="X2" i="57" s="1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F257" i="69" l="1"/>
  <c r="Z169" i="22"/>
  <c r="Z170" i="22"/>
  <c r="Z173" i="22"/>
  <c r="Z171" i="22"/>
  <c r="AB171" i="22" s="1"/>
  <c r="AD171" i="22" s="1"/>
  <c r="Z172" i="22"/>
  <c r="AI199" i="32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AB12" i="65" l="1"/>
  <c r="AC12" i="65" s="1"/>
  <c r="Y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 s="1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<sst xmlns="http://schemas.openxmlformats.org/spreadsheetml/2006/main" count="6486" uniqueCount="1537">
  <si>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</si>
  <si>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</si>
  <si>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</si>
  <si>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</si>
  <si>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</si>
  <si>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</si>
  <si>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</si>
  <si>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</si>
  <si>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</si>
  <si>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</si>
  <si>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</si>
  <si>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</si>
  <si>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</si>
  <si>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</si>
  <si>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</si>
  <si>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</si>
  <si>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</si>
  <si>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</si>
  <si>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</si>
  <si>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</si>
  <si>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</si>
  <si>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</si>
  <si>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</si>
  <si>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</si>
  <si>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</si>
  <si>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</si>
  <si>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</si>
  <si>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</si>
  <si>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</si>
  <si>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</si>
  <si>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</si>
  <si>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</si>
  <si>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</si>
  <si>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</si>
  <si>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</si>
  <si>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</si>
  <si>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</si>
  <si>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</si>
  <si>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</si>
  <si>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</si>
  <si>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</si>
  <si>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</si>
  <si>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</si>
  <si>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</si>
  <si>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</si>
  <si>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</si>
  <si>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</si>
  <si>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</si>
  <si>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</si>
  <si>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</si>
  <si>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</si>
  <si>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</si>
  <si>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</si>
  <si>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</si>
  <si>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</si>
  <si>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</si>
  <si>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</si>
  <si>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</si>
  <si>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</si>
  <si>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</si>
  <si>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</si>
  <si>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</si>
  <si>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</si>
  <si>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</si>
  <si>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</si>
  <si>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</si>
  <si>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</si>
  <si>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</si>
  <si>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</si>
  <si>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</si>
  <si>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</si>
  <si>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</si>
  <si>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</si>
  <si>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</si>
  <si>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</si>
  <si>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</si>
  <si>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</si>
  <si>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</si>
  <si>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</si>
  <si>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</si>
  <si>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</si>
  <si>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</si>
  <si>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</si>
  <si>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</si>
  <si>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</si>
  <si>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</si>
  <si>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</si>
  <si>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</si>
  <si>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</si>
  <si>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</si>
  <si>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</si>
  <si>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</si>
  <si>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</si>
  <si>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</si>
  <si>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</si>
  <si>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</si>
  <si>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</si>
  <si>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</si>
  <si>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</si>
  <si>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</si>
  <si>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</si>
  <si>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</si>
  <si>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</si>
  <si>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</si>
  <si>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</si>
  <si>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</si>
  <si>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</si>
  <si>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</si>
  <si>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</si>
  <si>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</si>
  <si>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</si>
  <si>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</si>
  <si>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</si>
  <si>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</si>
  <si>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</si>
  <si>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</si>
  <si>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</si>
  <si>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</si>
  <si>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</si>
  <si>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</si>
  <si>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</si>
  <si>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</si>
  <si>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</si>
  <si>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</si>
  <si>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</si>
  <si>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</si>
  <si>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</si>
  <si>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</si>
  <si>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</si>
  <si>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</si>
  <si>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</si>
  <si>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</si>
  <si>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</si>
  <si>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</si>
  <si>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</si>
  <si>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</si>
  <si>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</si>
  <si>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</si>
  <si>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</si>
  <si>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</si>
  <si>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</si>
  <si>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</si>
  <si>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</si>
  <si>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</si>
  <si>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</si>
  <si>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</si>
  <si>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</si>
  <si>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</si>
  <si>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</si>
  <si>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</si>
  <si>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</si>
  <si>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</si>
  <si>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</si>
  <si>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</si>
  <si>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</si>
  <si>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</si>
  <si>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</si>
  <si>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</si>
  <si>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</si>
  <si>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</si>
  <si>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</si>
  <si>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</si>
  <si>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</si>
  <si>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</si>
  <si>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</si>
  <si>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</si>
  <si>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</si>
  <si>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</si>
  <si>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</si>
  <si>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</si>
  <si>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</si>
  <si>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</si>
  <si>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</si>
  <si>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</si>
  <si>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</si>
  <si>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</si>
  <si>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</si>
  <si>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</si>
  <si>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</si>
  <si>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</si>
  <si>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</si>
  <si>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</si>
  <si>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</si>
  <si>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</si>
  <si>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</si>
  <si>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</si>
  <si>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</si>
  <si>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</si>
  <si>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</si>
  <si>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</si>
  <si>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</si>
  <si>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</si>
  <si>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</si>
  <si>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</si>
  <si>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</si>
  <si>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</si>
  <si>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</si>
  <si>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</si>
  <si>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</si>
  <si>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</si>
  <si>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</si>
  <si>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</si>
  <si>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</si>
  <si>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</si>
  <si>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</si>
  <si>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</si>
  <si>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</si>
  <si>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</si>
  <si>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</si>
  <si>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</si>
  <si>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</si>
  <si>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</si>
  <si>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</si>
  <si>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</si>
  <si>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</si>
  <si>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</si>
  <si>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</si>
  <si>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</si>
  <si>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</si>
  <si>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</si>
  <si>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</si>
  <si>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</si>
  <si>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</si>
  <si>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</si>
  <si>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</si>
  <si>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</si>
  <si>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</si>
  <si>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</si>
  <si>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</si>
  <si>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</si>
  <si>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</si>
  <si>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</si>
  <si>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</si>
  <si>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</si>
  <si>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</si>
  <si>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</si>
  <si>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</si>
  <si>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</si>
  <si>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</si>
  <si>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</si>
  <si>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</si>
  <si>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</si>
  <si>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</si>
  <si>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</si>
  <si>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</si>
  <si>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</si>
  <si>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</si>
  <si>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</si>
  <si>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</si>
  <si>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</si>
  <si>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</si>
  <si>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</si>
  <si>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</si>
  <si>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</si>
  <si>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</si>
  <si>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</si>
  <si>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</si>
  <si>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</si>
  <si>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</si>
  <si>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</si>
  <si>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</si>
  <si>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</si>
  <si>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</si>
  <si>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</si>
  <si>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</si>
  <si>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</si>
  <si>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</si>
  <si>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</si>
  <si>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</si>
  <si>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</si>
  <si>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</si>
  <si>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</si>
  <si>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</si>
  <si>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</si>
  <si>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</si>
  <si>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</si>
  <si>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</si>
  <si>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</si>
  <si>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</si>
  <si>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</si>
  <si>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</si>
  <si>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</si>
  <si>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</si>
  <si>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</si>
  <si>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</si>
  <si>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</si>
  <si>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</si>
  <si>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</si>
  <si>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</si>
  <si>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</si>
  <si>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</si>
  <si>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</si>
  <si>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</si>
  <si>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</si>
  <si>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</si>
  <si>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</si>
  <si>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</si>
  <si>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</si>
  <si>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</si>
  <si>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</si>
  <si>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</si>
  <si>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</si>
  <si>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</si>
  <si>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</si>
  <si>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</si>
  <si>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</si>
  <si>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</si>
  <si>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</si>
  <si>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</si>
  <si>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</si>
  <si>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</si>
  <si>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</si>
  <si>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</si>
  <si>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</si>
  <si>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</si>
  <si>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</si>
  <si>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</si>
  <si>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</si>
  <si>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</si>
  <si>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</si>
  <si>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</si>
  <si>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</si>
  <si>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</si>
  <si>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</si>
  <si>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</si>
  <si>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</si>
  <si>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</si>
  <si>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</si>
  <si>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</si>
  <si>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</si>
  <si>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</si>
  <si>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</si>
  <si>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</si>
  <si>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</si>
  <si>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</si>
  <si>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</si>
  <si>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</si>
  <si>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</si>
  <si>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</si>
  <si>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</si>
  <si>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</si>
  <si>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</si>
  <si>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</si>
  <si>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</si>
  <si>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</si>
  <si>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</si>
  <si>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</si>
  <si>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</si>
  <si>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</si>
  <si>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</si>
  <si>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</si>
  <si>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</si>
  <si>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</si>
  <si>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</si>
  <si>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</si>
  <si>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</si>
  <si>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</si>
  <si>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</si>
  <si>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</si>
  <si>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</si>
  <si>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</si>
  <si>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</si>
  <si>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</si>
  <si>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</si>
  <si>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</si>
  <si>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</si>
  <si>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</si>
  <si>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</si>
  <si>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</si>
  <si>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</si>
  <si>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</si>
  <si>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</si>
  <si>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</si>
  <si>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</si>
  <si>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</si>
  <si>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</si>
  <si>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</si>
  <si>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</si>
  <si>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</si>
  <si>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</si>
  <si>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</si>
  <si>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</si>
  <si>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</si>
  <si>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</si>
  <si>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</si>
  <si>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</si>
  <si>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</si>
  <si>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</si>
  <si>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</si>
  <si>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</si>
  <si>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</si>
  <si>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</si>
  <si>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</si>
  <si>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</si>
  <si>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</si>
  <si>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</si>
  <si>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</si>
  <si>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</si>
  <si>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</si>
  <si>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</si>
  <si>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</si>
  <si>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</si>
  <si>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</si>
  <si>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</si>
  <si>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</si>
  <si>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</si>
  <si>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</si>
  <si>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</si>
  <si>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</si>
  <si>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</si>
  <si>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</si>
  <si>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</si>
  <si>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</si>
  <si>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</si>
  <si>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</si>
  <si>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</si>
  <si>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</si>
  <si>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</si>
  <si>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</si>
  <si>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</si>
  <si>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</si>
  <si>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</si>
  <si>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</si>
  <si>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</si>
  <si>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</si>
  <si>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</si>
  <si>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</si>
  <si>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</si>
  <si>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</si>
  <si>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</si>
  <si>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</si>
  <si>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</si>
  <si>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</si>
  <si>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</si>
  <si>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</si>
  <si>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</si>
  <si>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</si>
  <si>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</si>
  <si>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</si>
  <si>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</si>
  <si>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</si>
  <si>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</si>
  <si>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</si>
  <si>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</si>
  <si>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</si>
  <si>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</si>
  <si>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</si>
  <si>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</si>
  <si>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</si>
  <si>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</si>
  <si>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</si>
  <si>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</si>
  <si>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</si>
  <si>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</si>
  <si>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</si>
  <si>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</si>
  <si>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</si>
  <si>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</si>
  <si>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</si>
  <si>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</si>
  <si>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</si>
  <si>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</si>
  <si>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</si>
  <si>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</si>
  <si>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</si>
  <si>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</si>
  <si>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</si>
  <si>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</si>
  <si>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</si>
  <si>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</si>
  <si>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</si>
  <si>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</si>
  <si>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</si>
  <si>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</si>
  <si>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</si>
  <si>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</si>
  <si>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</si>
  <si>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</si>
  <si>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</si>
  <si>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</si>
  <si>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</si>
  <si>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</si>
  <si>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</si>
  <si>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</si>
  <si>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</si>
  <si>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</si>
  <si>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</si>
  <si>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</si>
  <si>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</si>
  <si>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</si>
  <si>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</si>
  <si>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</si>
  <si>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</si>
  <si>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</si>
  <si>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</si>
  <si>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</si>
  <si>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</si>
  <si>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</si>
  <si>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</si>
  <si>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</si>
  <si>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</si>
  <si>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</si>
  <si>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</si>
  <si>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</si>
  <si>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</si>
  <si>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</si>
  <si>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</si>
  <si>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</si>
  <si>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</si>
  <si>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</si>
  <si>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</si>
  <si>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</si>
  <si>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</si>
  <si>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</si>
  <si>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</si>
  <si>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</si>
  <si>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</si>
  <si>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</si>
  <si>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</si>
  <si>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</si>
  <si>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</si>
  <si>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</si>
  <si>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</si>
  <si>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</si>
  <si>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</si>
  <si>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</si>
  <si>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</si>
  <si>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</si>
  <si>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</si>
  <si>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</si>
  <si>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</si>
  <si>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</si>
  <si>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</si>
  <si>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</si>
  <si>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</si>
  <si>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</si>
  <si>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</si>
  <si>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</si>
  <si>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</si>
  <si>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</si>
  <si>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</si>
  <si>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</si>
  <si>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</si>
  <si>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</si>
  <si>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</si>
  <si>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</si>
  <si>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</si>
  <si>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</si>
  <si>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</si>
  <si>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</si>
  <si>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</si>
  <si>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</si>
  <si>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</si>
  <si>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</si>
  <si>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</si>
  <si>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</si>
  <si>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</si>
  <si>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</si>
  <si>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</si>
  <si>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</si>
  <si>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</si>
  <si>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</si>
  <si>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</si>
  <si>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</si>
  <si>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</si>
  <si>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</si>
  <si>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</si>
  <si>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</si>
  <si>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</si>
  <si>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</si>
  <si>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</si>
  <si>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</si>
  <si>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</si>
  <si>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</si>
  <si>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</si>
  <si>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</si>
  <si>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</si>
  <si>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</si>
  <si>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</si>
  <si>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</si>
  <si>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</si>
  <si>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</si>
  <si>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</si>
  <si>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</si>
  <si>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</si>
  <si>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</si>
  <si>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</si>
  <si>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</si>
  <si>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</si>
  <si>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</si>
  <si>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</si>
  <si>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</si>
  <si>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</si>
  <si>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</si>
  <si>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</si>
  <si>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</si>
  <si>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</si>
  <si>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</si>
  <si>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</si>
  <si>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</si>
  <si>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</si>
  <si>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</si>
  <si>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</si>
  <si>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</si>
  <si>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</si>
  <si>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</si>
  <si>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</si>
  <si>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</si>
  <si>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</si>
  <si>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</si>
  <si>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</si>
  <si>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</si>
  <si>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</si>
  <si>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</si>
  <si>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</si>
  <si>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</si>
  <si>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</si>
  <si>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</si>
  <si>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</si>
  <si>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</si>
  <si>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</si>
  <si>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</si>
  <si>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</si>
  <si>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</si>
  <si>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</si>
  <si>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</si>
  <si>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</si>
  <si>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</si>
  <si>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</si>
  <si>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</si>
  <si>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</si>
  <si>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</si>
  <si>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</si>
  <si>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</si>
  <si>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</si>
  <si>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</si>
  <si>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</si>
  <si>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</si>
  <si>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</si>
  <si>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</si>
  <si>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</si>
  <si>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</si>
  <si>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</si>
  <si>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</si>
  <si>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</si>
  <si>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</si>
  <si>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</si>
  <si>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</si>
  <si>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</si>
  <si>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</si>
  <si>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</si>
  <si>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</si>
  <si>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</si>
  <si>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</si>
  <si>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</si>
  <si>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</si>
  <si>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</si>
  <si>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</si>
  <si>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</si>
  <si>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</si>
  <si>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</si>
  <si>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</si>
  <si>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</si>
  <si>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</si>
  <si>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</si>
  <si>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</si>
  <si>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</si>
  <si>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</si>
  <si>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</si>
  <si>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</si>
  <si>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</si>
  <si>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</si>
  <si>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</si>
  <si>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</si>
  <si>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</si>
  <si>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</si>
  <si>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</si>
  <si>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</si>
  <si>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</si>
  <si>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</si>
  <si>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</si>
  <si>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</si>
  <si>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</si>
  <si>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</si>
  <si>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</si>
  <si>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</si>
  <si>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</si>
  <si>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</si>
  <si>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</si>
  <si>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</si>
  <si>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</si>
  <si>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</si>
  <si>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</si>
  <si>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</si>
  <si>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</si>
  <si>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</si>
  <si>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</si>
  <si>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</si>
  <si>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</si>
  <si>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</si>
  <si>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</si>
  <si>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</si>
  <si>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</si>
  <si>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</si>
  <si>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</si>
  <si>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</si>
  <si>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</si>
  <si>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</si>
  <si>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</si>
  <si>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</si>
  <si>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</si>
  <si>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</si>
  <si>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</si>
  <si>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</si>
  <si>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</si>
  <si>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</si>
  <si>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</si>
  <si>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</si>
  <si>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</si>
  <si>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</si>
  <si>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</si>
  <si>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</si>
  <si>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</si>
  <si>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</si>
  <si>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</si>
  <si>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</si>
  <si>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</si>
  <si>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</si>
  <si>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</si>
  <si>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</si>
  <si>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</si>
  <si>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</si>
  <si>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</si>
  <si>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</si>
  <si>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</si>
  <si>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</si>
  <si>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</si>
  <si>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</si>
  <si>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</si>
  <si>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</si>
  <si>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</si>
  <si>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</si>
  <si>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</si>
  <si>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</si>
  <si>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</si>
  <si>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</si>
  <si>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</si>
  <si>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</si>
  <si>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</si>
  <si>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</si>
  <si>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</si>
  <si>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</si>
  <si>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</si>
  <si>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</si>
  <si>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</si>
  <si>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</si>
  <si>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</si>
  <si>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</si>
  <si>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</si>
  <si>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</si>
  <si>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</si>
  <si>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</si>
  <si>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</si>
  <si>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</si>
  <si>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</si>
  <si>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</si>
  <si>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</si>
  <si>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</si>
  <si>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</si>
  <si>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</si>
  <si>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</si>
  <si>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</si>
  <si>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</si>
  <si>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</si>
  <si>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</si>
  <si>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</si>
  <si>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</si>
  <si>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</si>
  <si>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</si>
  <si>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</si>
  <si>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</si>
  <si>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</si>
  <si>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</si>
  <si>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</si>
  <si>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</si>
  <si>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</si>
  <si>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</si>
  <si>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</si>
  <si>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</si>
  <si>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</si>
  <si>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</si>
  <si>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</si>
  <si>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</si>
  <si>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</si>
  <si>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</si>
  <si>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</si>
  <si>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</si>
  <si>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</si>
  <si>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</si>
  <si>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</si>
  <si>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</si>
  <si>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</si>
  <si>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</si>
  <si>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</si>
  <si>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</si>
  <si>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</si>
  <si>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</si>
  <si>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</si>
  <si>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</si>
  <si>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</si>
  <si>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</si>
  <si>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</si>
  <si>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</si>
  <si>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</si>
  <si>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</si>
  <si>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</si>
  <si>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</si>
  <si>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</si>
  <si>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</si>
  <si>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</si>
  <si>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</si>
  <si>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</si>
  <si>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</si>
  <si>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</si>
  <si>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</si>
  <si>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</si>
  <si>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</si>
  <si>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</si>
  <si>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</si>
  <si>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</si>
  <si>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</si>
  <si>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</si>
  <si>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</si>
  <si>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</si>
  <si>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</si>
  <si>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</si>
  <si>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</si>
  <si>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</si>
  <si>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</si>
  <si>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</si>
  <si>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</si>
  <si>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</si>
  <si>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</si>
  <si>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</si>
  <si>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</si>
  <si>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</si>
  <si>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</si>
  <si>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</si>
  <si>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</si>
  <si>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</si>
  <si>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</si>
  <si>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</si>
  <si>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</si>
  <si>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</si>
  <si>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</si>
  <si>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</si>
  <si>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</si>
  <si>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</si>
  <si>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</si>
  <si>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</si>
  <si>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</si>
  <si>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</si>
  <si>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</si>
  <si>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</si>
  <si>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</si>
  <si>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</si>
  <si>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</si>
  <si>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</si>
  <si>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</si>
  <si>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</si>
  <si>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</si>
  <si>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</si>
  <si>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</si>
  <si>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</si>
  <si>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</si>
  <si>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</si>
  <si>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</si>
  <si>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</si>
  <si>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</si>
  <si>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</si>
  <si>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</si>
  <si>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</si>
  <si>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</si>
  <si>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</si>
  <si>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</si>
  <si>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</si>
  <si>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</si>
  <si>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</si>
  <si>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</si>
  <si>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</si>
  <si>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</si>
  <si>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</si>
  <si>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</si>
  <si>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</si>
  <si>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</si>
  <si>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</si>
  <si>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</si>
  <si>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</si>
  <si>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</si>
  <si>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</si>
  <si>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</si>
  <si>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</si>
  <si>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</si>
  <si>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</si>
  <si>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</si>
  <si>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</si>
  <si>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</si>
  <si>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</si>
  <si>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</si>
  <si>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</si>
  <si>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</si>
  <si>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</si>
  <si>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</si>
  <si>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</si>
  <si>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</si>
  <si>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</si>
  <si>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</si>
  <si>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</si>
  <si>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</si>
  <si>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</si>
  <si>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</si>
  <si>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</si>
  <si>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</si>
  <si>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</si>
  <si>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</si>
  <si>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</si>
  <si>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</si>
  <si>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</si>
  <si>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</si>
  <si>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</si>
  <si>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</si>
  <si>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</si>
  <si>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</si>
  <si>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</si>
  <si>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</si>
  <si>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</si>
  <si>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</si>
  <si>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</si>
  <si>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</si>
  <si>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</si>
  <si>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</si>
  <si>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</si>
  <si>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</si>
  <si>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</si>
  <si>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</si>
  <si>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</si>
  <si>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</si>
  <si>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</si>
  <si>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</si>
  <si>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</si>
  <si>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</si>
  <si>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</si>
  <si>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</si>
  <si>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</si>
  <si>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</si>
  <si>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</si>
  <si>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</si>
  <si>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</si>
  <si>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</si>
  <si>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</si>
  <si>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</si>
  <si>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</si>
  <si>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</si>
  <si>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</si>
  <si>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</si>
  <si>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</si>
  <si>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</si>
  <si>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</si>
  <si>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</si>
  <si>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</si>
  <si>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</si>
  <si>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</si>
  <si>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</si>
  <si>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</si>
  <si>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</si>
  <si>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</si>
  <si>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</si>
  <si>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</si>
  <si>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</si>
  <si>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</si>
  <si>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</si>
  <si>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</si>
  <si>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</si>
  <si>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</si>
  <si>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</si>
  <si>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</si>
  <si>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</si>
  <si>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</si>
  <si>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</si>
  <si>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</si>
  <si>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</si>
  <si>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</si>
  <si>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</si>
  <si>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</si>
  <si>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</si>
  <si>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</si>
  <si>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</si>
  <si>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</si>
  <si>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</si>
  <si>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</si>
  <si>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</si>
  <si>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</si>
  <si>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</si>
  <si>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</si>
  <si>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</si>
  <si>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</si>
  <si>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</si>
  <si>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</si>
  <si>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</si>
  <si>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</si>
  <si>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</si>
  <si>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</si>
  <si>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</si>
  <si>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</si>
  <si>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</si>
  <si>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</si>
  <si>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</si>
  <si>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</si>
  <si>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</si>
  <si>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</si>
  <si>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</si>
  <si>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</si>
  <si>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</si>
  <si>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</si>
  <si>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</si>
  <si>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</si>
  <si>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</si>
  <si>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</si>
  <si>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</si>
  <si>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</si>
  <si>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</si>
  <si>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</si>
  <si>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</si>
  <si>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</si>
  <si>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</si>
  <si>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</si>
  <si>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</si>
  <si>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</si>
  <si>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</si>
  <si>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</si>
  <si>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</si>
  <si>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</si>
  <si>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</si>
  <si>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</si>
  <si>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</si>
  <si>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</si>
  <si>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</si>
  <si>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</si>
  <si>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</si>
  <si>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</si>
  <si>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</si>
  <si>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</si>
  <si>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</si>
  <si>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</si>
  <si>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</si>
  <si>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</si>
  <si>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</si>
  <si>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</si>
  <si>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</si>
  <si>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</si>
  <si>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</si>
  <si>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</si>
  <si>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</si>
  <si>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</si>
  <si>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</si>
  <si>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</si>
  <si>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</si>
  <si>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</si>
  <si>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</si>
  <si>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</si>
  <si>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</si>
  <si>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</si>
  <si>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</si>
  <si>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</si>
  <si>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</si>
  <si>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</si>
  <si>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</si>
  <si>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</si>
  <si>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</si>
  <si>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</si>
  <si>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</si>
  <si>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</si>
  <si>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</si>
  <si>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</si>
  <si>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</si>
  <si>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</si>
  <si>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</si>
  <si>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</si>
  <si>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</si>
  <si>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</si>
  <si>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</si>
  <si>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</si>
  <si>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</si>
  <si>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</si>
  <si>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</si>
  <si>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</si>
  <si>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</si>
  <si>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</si>
  <si>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</si>
  <si>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</si>
  <si>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</si>
  <si>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</si>
  <si>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</si>
  <si>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</si>
  <si>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</si>
  <si>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</si>
  <si>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</si>
  <si>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</si>
  <si>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</si>
  <si>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</si>
  <si>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</si>
  <si>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</si>
  <si>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</si>
  <si>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</si>
  <si>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</si>
  <si>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</si>
  <si>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</si>
  <si>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</si>
  <si>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</si>
  <si>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</si>
  <si>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</si>
  <si>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</si>
  <si>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</si>
  <si>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</si>
  <si>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</si>
  <si>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</si>
  <si>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</si>
  <si>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</si>
  <si>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</si>
  <si>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</si>
  <si>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</si>
  <si>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</si>
  <si>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</si>
  <si>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</si>
  <si>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</si>
  <si>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</si>
  <si>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</si>
  <si>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</si>
  <si>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</si>
  <si>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</si>
  <si>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</si>
  <si>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</si>
  <si>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</si>
  <si>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</si>
  <si>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</si>
  <si>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</si>
  <si>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</si>
  <si>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</si>
  <si>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</si>
  <si>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</si>
  <si>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</si>
  <si>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</si>
  <si>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</si>
  <si>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</si>
  <si>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</si>
  <si>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</si>
  <si>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</si>
  <si>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</si>
  <si>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</si>
  <si>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</si>
  <si>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</si>
  <si>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</si>
  <si>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</si>
  <si>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</si>
  <si>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</si>
  <si>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</si>
  <si>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</si>
  <si>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</si>
  <si>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</si>
  <si>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</si>
  <si>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</si>
  <si>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</si>
  <si>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</si>
  <si>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</si>
  <si>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</si>
  <si>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</si>
  <si>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</si>
  <si>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</si>
  <si>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</si>
  <si>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</si>
  <si>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</si>
  <si>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</si>
  <si>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</si>
  <si>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</si>
  <si>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</si>
  <si>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</si>
  <si>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</si>
  <si>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</si>
  <si>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</si>
  <si>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</si>
  <si>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</si>
  <si>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</si>
  <si>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</si>
  <si>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</si>
  <si>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</si>
  <si>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</si>
  <si>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</si>
  <si>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</si>
  <si>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</si>
  <si>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</si>
  <si>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</si>
  <si>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</si>
  <si>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</si>
  <si>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</si>
  <si>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</si>
  <si>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</si>
  <si>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</si>
  <si>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</si>
  <si>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</si>
  <si>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</si>
  <si>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</si>
  <si>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</si>
  <si>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</si>
  <si>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</si>
  <si>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</si>
  <si>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</si>
  <si>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</si>
  <si>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</si>
  <si>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</si>
  <si>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</si>
  <si>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</si>
  <si>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</si>
  <si>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</si>
  <si>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</si>
  <si>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</si>
  <si>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</si>
  <si>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</si>
  <si>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</si>
  <si>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</si>
  <si>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</si>
  <si>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</si>
  <si>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</si>
  <si>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</si>
  <si>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</si>
  <si>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</si>
  <si>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</si>
  <si>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</si>
  <si>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</si>
  <si>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</si>
  <si>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</si>
  <si>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</si>
  <si>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</si>
  <si>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</si>
  <si>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</si>
  <si>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</si>
  <si>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</si>
  <si>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</si>
  <si>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</si>
  <si>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</si>
  <si>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</si>
  <si>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</si>
  <si>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</si>
  <si>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</si>
  <si>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</si>
  <si>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</si>
  <si>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</si>
  <si>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</si>
  <si>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</si>
  <si>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</si>
  <si>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</si>
  <si>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</si>
  <si>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</si>
  <si>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</si>
  <si>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</si>
  <si>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</si>
  <si>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</si>
  <si>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</si>
  <si>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</si>
  <si>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</si>
  <si>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</si>
  <si>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</si>
  <si>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</si>
  <si>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</si>
  <si>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</si>
  <si>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</si>
  <si>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</si>
  <si>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</si>
  <si>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</si>
  <si>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</si>
  <si>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</si>
  <si>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</si>
  <si>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</si>
  <si>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</si>
  <si>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</si>
  <si>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</si>
  <si>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</si>
  <si>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</si>
  <si>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</si>
  <si>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</si>
  <si>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</si>
  <si>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</si>
  <si>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</si>
  <si>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</si>
  <si>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</si>
  <si>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</si>
  <si>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</si>
  <si>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</si>
  <si>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</si>
  <si>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</si>
  <si>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</si>
  <si>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</si>
  <si>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</si>
  <si>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</si>
  <si>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</si>
  <si>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</si>
  <si>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</si>
  <si>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</si>
  <si>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</si>
  <si>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</si>
  <si>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</si>
  <si>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</si>
  <si>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</si>
  <si>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</si>
  <si>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</si>
  <si>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</si>
  <si>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</si>
  <si>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</si>
  <si>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</si>
  <si>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</si>
  <si>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</si>
  <si>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</si>
  <si>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</si>
  <si>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</si>
  <si>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</si>
  <si>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</si>
  <si>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</si>
  <si>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</si>
  <si>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</si>
  <si>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</si>
  <si>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</si>
  <si>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</si>
  <si>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</si>
  <si>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</si>
  <si>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</si>
  <si>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</si>
  <si>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</si>
  <si>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</si>
  <si>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</si>
  <si>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</si>
  <si>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</si>
  <si>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</si>
  <si>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</si>
  <si>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</si>
  <si>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</si>
  <si>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</si>
  <si>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</si>
  <si>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</si>
  <si>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</si>
  <si>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</si>
  <si>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</si>
  <si>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</si>
  <si>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</si>
  <si>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</si>
  <si>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</si>
  <si>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</si>
  <si>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</si>
  <si>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</si>
  <si>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</si>
  <si>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</si>
  <si>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</si>
  <si>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</si>
  <si>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</si>
  <si>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</si>
  <si>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</si>
  <si>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</si>
  <si>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</si>
  <si>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</si>
  <si>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</si>
  <si>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</si>
  <si>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</si>
  <si>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</si>
  <si>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</si>
  <si>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</si>
  <si>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</si>
  <si>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</si>
  <si>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</si>
  <si>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</si>
  <si>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</si>
  <si>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</si>
  <si>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</si>
  <si>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</si>
  <si>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</si>
  <si>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</si>
  <si>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</si>
  <si>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</si>
  <si>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</si>
  <si>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</si>
  <si>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</si>
  <si>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</si>
  <si>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</si>
  <si>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</si>
  <si>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</si>
  <si>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</si>
  <si>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</si>
  <si>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</si>
  <si>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</si>
  <si>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</si>
  <si>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</si>
  <si>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</si>
  <si>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</si>
  <si>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</si>
  <si>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</si>
  <si>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</si>
  <si>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</si>
  <si>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</si>
  <si>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</si>
  <si>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</si>
  <si>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</si>
  <si>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</si>
  <si>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</si>
  <si>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</si>
  <si>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</si>
  <si>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</si>
  <si>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</si>
  <si>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</si>
  <si>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</si>
  <si>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</si>
  <si>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</si>
  <si>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</si>
  <si>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</si>
  <si>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</si>
  <si>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</si>
  <si>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</si>
  <si>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</si>
  <si>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</si>
  <si>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</si>
  <si>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</si>
  <si>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</si>
  <si>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</si>
  <si>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</si>
  <si>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</si>
  <si>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</si>
  <si>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</si>
  <si>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</si>
  <si>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</si>
  <si>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</si>
  <si>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</si>
  <si>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</si>
  <si>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</si>
  <si>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</si>
  <si>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</si>
  <si>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</si>
  <si>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</si>
  <si>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</si>
  <si>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</si>
  <si>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</si>
  <si>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</si>
  <si>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</si>
  <si>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</si>
  <si>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</si>
  <si>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</si>
  <si>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</si>
  <si>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</si>
  <si>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</si>
  <si>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</si>
  <si>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</si>
  <si>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</si>
  <si>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</si>
  <si>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</si>
  <si>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</si>
  <si>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</si>
  <si>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</si>
  <si>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</si>
  <si>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</si>
  <si>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</si>
  <si>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</si>
  <si>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</si>
  <si>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</si>
  <si>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</si>
  <si>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</si>
  <si>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</si>
  <si>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</si>
  <si>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</si>
  <si>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</si>
  <si>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</si>
  <si>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</si>
  <si>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</si>
  <si>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</si>
  <si>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</si>
  <si>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</si>
  <si>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</si>
  <si>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</si>
  <si>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</si>
  <si>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</si>
  <si>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</si>
  <si>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</si>
  <si>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</si>
  <si>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</si>
  <si>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</si>
  <si>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</si>
  <si>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</si>
  <si>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</si>
  <si>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</si>
  <si>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</si>
  <si>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</si>
  <si>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</si>
  <si>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</si>
  <si>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</si>
  <si>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</si>
  <si>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</si>
  <si>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</si>
  <si>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</si>
  <si>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</si>
  <si>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</si>
  <si>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</si>
  <si>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</si>
  <si>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</si>
  <si>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</si>
  <si>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</si>
  <si>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</si>
  <si>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</si>
  <si>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</si>
  <si>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</si>
  <si>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</si>
  <si>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</si>
  <si>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</si>
  <si>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</si>
  <si>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Broad leaved semi natural woodland</t>
  </si>
  <si>
    <t>Broad leaved plantation woodland</t>
  </si>
  <si>
    <t>Poor SI grassland</t>
  </si>
  <si>
    <t>Mixed plantation woodland</t>
  </si>
  <si>
    <t>Buildings and hard standing</t>
  </si>
  <si>
    <t>Scrub - naturally regenerated young trees and scrub</t>
  </si>
  <si>
    <t>Actual built development land take for solar farms generally between 3-5% of land area</t>
  </si>
  <si>
    <t>Intact hedge</t>
  </si>
  <si>
    <t>Defunct hedge</t>
  </si>
  <si>
    <t>New native hedgerow and tree planting/infill</t>
  </si>
  <si>
    <t>Under solar panels - Solar Park Long Term Grazing Mix. Condition assigned as moderate  on a precautoinary basis</t>
  </si>
  <si>
    <t>Fied margins - EM2 General Purpose Meadow Mix. Condition assigned as moderate on a precautionary basis</t>
  </si>
  <si>
    <t>Proposed shrub/tree belt planting. Condition assigned as moderate on a precautionary basis</t>
  </si>
  <si>
    <t>Bioswale 928m by 0.5m wide. Condition assessed as moderate on a precautionary basis</t>
  </si>
  <si>
    <t xml:space="preserve">Scores 31 on condition assessment. 
Considered to be a shrub/tree belt which will be allowed to naturally grow out </t>
  </si>
  <si>
    <t>Cotmoor Solar farm</t>
  </si>
  <si>
    <t>JBM Solar</t>
  </si>
  <si>
    <t>Solar</t>
  </si>
  <si>
    <t>B Walker MSc MCIEEM</t>
  </si>
  <si>
    <t>U Maginn MSc MCIEEM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</si>
</sst>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"/>
    <numFmt numFmtId="166" formatCode="0.000"/>
    <numFmt numFmtId="167" formatCode="0.0000"/>
  </numFmts>
  <fonts count="56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7" fontId="23" fillId="12" borderId="5" xfId="0" applyNumberFormat="1" applyFont="1" applyFill="1" applyBorder="1" applyAlignment="1" applyProtection="1">
      <alignment horizontal="center" vertical="center" wrapText="1"/>
    </xf>
    <xf numFmtId="167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5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5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5" fontId="33" fillId="15" borderId="5" xfId="0" applyNumberFormat="1" applyFont="1" applyFill="1" applyBorder="1" applyAlignment="1">
      <alignment horizontal="center" vertical="center"/>
    </xf>
    <xf numFmtId="165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6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6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6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6" fontId="33" fillId="15" borderId="42" xfId="0" applyNumberFormat="1" applyFont="1" applyFill="1" applyBorder="1" applyAlignment="1">
      <alignment horizontal="center" vertical="center" wrapText="1"/>
    </xf>
    <xf numFmtId="166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6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6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6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7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6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6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6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6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6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/>
    <cellStyle name="Comma 2 2" xfId="4"/>
    <cellStyle name="Comma 2 2 2" xfId="17"/>
    <cellStyle name="Comma 2 2 2 2" xfId="28"/>
    <cellStyle name="Comma 2 2 3" xfId="23"/>
    <cellStyle name="Comma 2 3" xfId="5"/>
    <cellStyle name="Comma 3" xfId="6"/>
    <cellStyle name="Comma 3 2" xfId="7"/>
    <cellStyle name="Comma 3 2 2" xfId="19"/>
    <cellStyle name="Comma 3 2 2 2" xfId="30"/>
    <cellStyle name="Comma 3 2 3" xfId="25"/>
    <cellStyle name="Comma 3 3" xfId="18"/>
    <cellStyle name="Comma 3 3 2" xfId="29"/>
    <cellStyle name="Comma 3 4" xfId="24"/>
    <cellStyle name="Comma 4" xfId="8"/>
    <cellStyle name="Comma 4 2" xfId="20"/>
    <cellStyle name="Comma 4 2 2" xfId="31"/>
    <cellStyle name="Comma 4 3" xfId="26"/>
    <cellStyle name="Comma 5" xfId="2"/>
    <cellStyle name="Comma 5 2" xfId="16"/>
    <cellStyle name="Comma 5 2 2" xfId="27"/>
    <cellStyle name="Comma 5 3" xfId="22"/>
    <cellStyle name="Hyperlink" xfId="21" builtinId="8"/>
    <cellStyle name="Normal" xfId="0" builtinId="0"/>
    <cellStyle name="Normal 2" xfId="9"/>
    <cellStyle name="Normal 2 2" xfId="10"/>
    <cellStyle name="Normal 3" xfId="11"/>
    <cellStyle name="Normal 4" xfId="12"/>
    <cellStyle name="Normal 5" xfId="13"/>
    <cellStyle name="Normal 5 2" xfId="14"/>
    <cellStyle name="Normal 6" xfId="15"/>
    <cellStyle name="Normal 7" xfId="1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3.0300000000000002</c:v>
                </c:pt>
                <c:pt idx="1">
                  <c:v>0.47</c:v>
                </c:pt>
                <c:pt idx="2">
                  <c:v>101.51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480560"/>
        <c:axId val="1607491440"/>
      </c:barChart>
      <c:catAx>
        <c:axId val="160748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91440"/>
        <c:crosses val="autoZero"/>
        <c:auto val="1"/>
        <c:lblAlgn val="ctr"/>
        <c:lblOffset val="100"/>
        <c:noMultiLvlLbl val="0"/>
      </c:catAx>
      <c:valAx>
        <c:axId val="160749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35.44</c:v>
                </c:pt>
                <c:pt idx="1">
                  <c:v>5.0399999999999991</c:v>
                </c:pt>
                <c:pt idx="2">
                  <c:v>2.2204460492503131E-15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476208"/>
        <c:axId val="1607487088"/>
      </c:barChart>
      <c:catAx>
        <c:axId val="160747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7088"/>
        <c:crosses val="autoZero"/>
        <c:auto val="1"/>
        <c:lblAlgn val="ctr"/>
        <c:lblOffset val="100"/>
        <c:noMultiLvlLbl val="0"/>
      </c:catAx>
      <c:valAx>
        <c:axId val="160748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7.92</c:v>
                </c:pt>
                <c:pt idx="7">
                  <c:v>0</c:v>
                </c:pt>
                <c:pt idx="8">
                  <c:v>2.8</c:v>
                </c:pt>
                <c:pt idx="9">
                  <c:v>27.36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2.4</c:v>
                </c:pt>
                <c:pt idx="1">
                  <c:v>10.588267985903999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7.92</c:v>
                </c:pt>
                <c:pt idx="7">
                  <c:v>0</c:v>
                </c:pt>
                <c:pt idx="8">
                  <c:v>2.8</c:v>
                </c:pt>
                <c:pt idx="9">
                  <c:v>29.706686999999999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7632"/>
        <c:axId val="1607477840"/>
      </c:barChart>
      <c:catAx>
        <c:axId val="160748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7840"/>
        <c:crosses val="autoZero"/>
        <c:auto val="1"/>
        <c:lblAlgn val="ctr"/>
        <c:lblOffset val="100"/>
        <c:noMultiLvlLbl val="0"/>
      </c:catAx>
      <c:valAx>
        <c:axId val="160747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7.92</c:v>
                </c:pt>
                <c:pt idx="7">
                  <c:v>0</c:v>
                </c:pt>
                <c:pt idx="8">
                  <c:v>2.8</c:v>
                </c:pt>
                <c:pt idx="9">
                  <c:v>27.36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2.4</c:v>
                </c:pt>
                <c:pt idx="1">
                  <c:v>10.588267985903999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7.92</c:v>
                </c:pt>
                <c:pt idx="7">
                  <c:v>0</c:v>
                </c:pt>
                <c:pt idx="8">
                  <c:v>2.8</c:v>
                </c:pt>
                <c:pt idx="9">
                  <c:v>29.706686999999999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10.588267985903999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2.3466869999999993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78384"/>
        <c:axId val="1607476752"/>
      </c:barChart>
      <c:catAx>
        <c:axId val="160747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6752"/>
        <c:crosses val="autoZero"/>
        <c:auto val="1"/>
        <c:lblAlgn val="ctr"/>
        <c:lblOffset val="100"/>
        <c:noMultiLvlLbl val="0"/>
      </c:catAx>
      <c:valAx>
        <c:axId val="160747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83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0.15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</c:v>
                </c:pt>
                <c:pt idx="7">
                  <c:v>0</c:v>
                </c:pt>
                <c:pt idx="8">
                  <c:v>0.35</c:v>
                </c:pt>
                <c:pt idx="9">
                  <c:v>6.84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0.15</c:v>
                </c:pt>
                <c:pt idx="1">
                  <c:v>1.26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</c:v>
                </c:pt>
                <c:pt idx="7">
                  <c:v>0</c:v>
                </c:pt>
                <c:pt idx="8">
                  <c:v>0.35</c:v>
                </c:pt>
                <c:pt idx="9">
                  <c:v>6.84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8176"/>
        <c:axId val="1607478928"/>
      </c:barChart>
      <c:catAx>
        <c:axId val="160748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8928"/>
        <c:crosses val="autoZero"/>
        <c:auto val="1"/>
        <c:lblAlgn val="ctr"/>
        <c:lblOffset val="100"/>
        <c:noMultiLvlLbl val="0"/>
      </c:catAx>
      <c:valAx>
        <c:axId val="160747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0.15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</c:v>
                </c:pt>
                <c:pt idx="7">
                  <c:v>0</c:v>
                </c:pt>
                <c:pt idx="8">
                  <c:v>0.35</c:v>
                </c:pt>
                <c:pt idx="9">
                  <c:v>6.84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0.15</c:v>
                </c:pt>
                <c:pt idx="1">
                  <c:v>1.26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</c:v>
                </c:pt>
                <c:pt idx="7">
                  <c:v>0</c:v>
                </c:pt>
                <c:pt idx="8">
                  <c:v>0.35</c:v>
                </c:pt>
                <c:pt idx="9">
                  <c:v>6.84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1.26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79472"/>
        <c:axId val="1707722032"/>
      </c:barChart>
      <c:catAx>
        <c:axId val="160747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2032"/>
        <c:crosses val="autoZero"/>
        <c:auto val="1"/>
        <c:lblAlgn val="ctr"/>
        <c:lblOffset val="100"/>
        <c:noMultiLvlLbl val="0"/>
      </c:catAx>
      <c:valAx>
        <c:axId val="170772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07725296"/>
        <c:axId val="1707726928"/>
      </c:barChart>
      <c:catAx>
        <c:axId val="170772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6928"/>
        <c:crosses val="autoZero"/>
        <c:auto val="1"/>
        <c:lblAlgn val="ctr"/>
        <c:lblOffset val="100"/>
        <c:noMultiLvlLbl val="0"/>
      </c:catAx>
      <c:valAx>
        <c:axId val="170772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07727472"/>
        <c:axId val="1707725840"/>
      </c:barChart>
      <c:catAx>
        <c:axId val="170772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5840"/>
        <c:crosses val="autoZero"/>
        <c:auto val="1"/>
        <c:lblAlgn val="ctr"/>
        <c:lblOffset val="100"/>
        <c:noMultiLvlLbl val="0"/>
      </c:catAx>
      <c:valAx>
        <c:axId val="170772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7720400"/>
        <c:axId val="1707720944"/>
      </c:barChart>
      <c:catAx>
        <c:axId val="170772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0944"/>
        <c:crosses val="autoZero"/>
        <c:auto val="1"/>
        <c:lblAlgn val="ctr"/>
        <c:lblOffset val="100"/>
        <c:noMultiLvlLbl val="0"/>
      </c:catAx>
      <c:valAx>
        <c:axId val="170772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7719856"/>
        <c:axId val="1707721488"/>
      </c:barChart>
      <c:catAx>
        <c:axId val="17077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1488"/>
        <c:crosses val="autoZero"/>
        <c:auto val="1"/>
        <c:lblAlgn val="ctr"/>
        <c:lblOffset val="100"/>
        <c:noMultiLvlLbl val="0"/>
      </c:catAx>
      <c:valAx>
        <c:axId val="170772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1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20.267999999999997</c:v>
                </c:pt>
                <c:pt idx="1">
                  <c:v>1.88</c:v>
                </c:pt>
                <c:pt idx="2">
                  <c:v>205.93999999999997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486544"/>
        <c:axId val="1607481648"/>
      </c:barChart>
      <c:catAx>
        <c:axId val="160748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1648"/>
        <c:crosses val="autoZero"/>
        <c:auto val="1"/>
        <c:lblAlgn val="ctr"/>
        <c:lblOffset val="100"/>
        <c:noMultiLvlLbl val="0"/>
      </c:catAx>
      <c:valAx>
        <c:axId val="160748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7728016"/>
        <c:axId val="1707723120"/>
      </c:barChart>
      <c:catAx>
        <c:axId val="170772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3120"/>
        <c:crosses val="autoZero"/>
        <c:auto val="1"/>
        <c:lblAlgn val="ctr"/>
        <c:lblOffset val="100"/>
        <c:noMultiLvlLbl val="0"/>
      </c:catAx>
      <c:valAx>
        <c:axId val="170772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2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7731280"/>
        <c:axId val="1707717136"/>
      </c:barChart>
      <c:catAx>
        <c:axId val="170773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17136"/>
        <c:crosses val="autoZero"/>
        <c:auto val="1"/>
        <c:lblAlgn val="ctr"/>
        <c:lblOffset val="100"/>
        <c:noMultiLvlLbl val="0"/>
      </c:catAx>
      <c:valAx>
        <c:axId val="170771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73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79.88</c:v>
                </c:pt>
                <c:pt idx="1">
                  <c:v>21.150000000000002</c:v>
                </c:pt>
                <c:pt idx="2">
                  <c:v>0.95</c:v>
                </c:pt>
                <c:pt idx="3">
                  <c:v>0</c:v>
                </c:pt>
                <c:pt idx="4">
                  <c:v>0</c:v>
                </c:pt>
                <c:pt idx="5">
                  <c:v>0.78</c:v>
                </c:pt>
                <c:pt idx="6">
                  <c:v>0</c:v>
                </c:pt>
                <c:pt idx="7">
                  <c:v>2.25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97.86</c:v>
                </c:pt>
                <c:pt idx="2">
                  <c:v>0.97</c:v>
                </c:pt>
                <c:pt idx="3">
                  <c:v>0</c:v>
                </c:pt>
                <c:pt idx="4">
                  <c:v>0</c:v>
                </c:pt>
                <c:pt idx="5">
                  <c:v>3.9299999999999997</c:v>
                </c:pt>
                <c:pt idx="6">
                  <c:v>0</c:v>
                </c:pt>
                <c:pt idx="7">
                  <c:v>2.25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8720"/>
        <c:axId val="1607483824"/>
      </c:barChart>
      <c:catAx>
        <c:axId val="160748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3824"/>
        <c:crosses val="autoZero"/>
        <c:auto val="1"/>
        <c:lblAlgn val="ctr"/>
        <c:lblOffset val="100"/>
        <c:noMultiLvlLbl val="0"/>
      </c:catAx>
      <c:valAx>
        <c:axId val="160748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159.76</c:v>
                </c:pt>
                <c:pt idx="1">
                  <c:v>44.260000000000005</c:v>
                </c:pt>
                <c:pt idx="2">
                  <c:v>3.8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20.267999999999997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410.12861882344799</c:v>
                </c:pt>
                <c:pt idx="2">
                  <c:v>6.8005527595279993</c:v>
                </c:pt>
                <c:pt idx="3">
                  <c:v>0</c:v>
                </c:pt>
                <c:pt idx="4">
                  <c:v>0</c:v>
                </c:pt>
                <c:pt idx="5">
                  <c:v>0.12931000000000001</c:v>
                </c:pt>
                <c:pt idx="6">
                  <c:v>0</c:v>
                </c:pt>
                <c:pt idx="7">
                  <c:v>20.267999999999997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2192"/>
        <c:axId val="1607489808"/>
      </c:barChart>
      <c:catAx>
        <c:axId val="16074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9808"/>
        <c:crosses val="autoZero"/>
        <c:auto val="1"/>
        <c:lblAlgn val="ctr"/>
        <c:lblOffset val="100"/>
        <c:noMultiLvlLbl val="0"/>
      </c:catAx>
      <c:valAx>
        <c:axId val="16074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1.46</c:v>
                </c:pt>
                <c:pt idx="3">
                  <c:v>100.05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159.76</c:v>
                </c:pt>
                <c:pt idx="1">
                  <c:v>44.260000000000005</c:v>
                </c:pt>
                <c:pt idx="2">
                  <c:v>3.8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20.267999999999997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410.12861882344799</c:v>
                </c:pt>
                <c:pt idx="2">
                  <c:v>6.8005527595279993</c:v>
                </c:pt>
                <c:pt idx="3">
                  <c:v>0</c:v>
                </c:pt>
                <c:pt idx="4">
                  <c:v>0</c:v>
                </c:pt>
                <c:pt idx="5">
                  <c:v>0.12931000000000001</c:v>
                </c:pt>
                <c:pt idx="6">
                  <c:v>0</c:v>
                </c:pt>
                <c:pt idx="7">
                  <c:v>20.267999999999997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-159.76</c:v>
                </c:pt>
                <c:pt idx="1">
                  <c:v>365.868618823448</c:v>
                </c:pt>
                <c:pt idx="2">
                  <c:v>3.0005527595279995</c:v>
                </c:pt>
                <c:pt idx="3">
                  <c:v>0</c:v>
                </c:pt>
                <c:pt idx="4">
                  <c:v>0</c:v>
                </c:pt>
                <c:pt idx="5">
                  <c:v>0.12931000000000001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0016"/>
        <c:axId val="1607486000"/>
      </c:barChart>
      <c:catAx>
        <c:axId val="16074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6000"/>
        <c:crosses val="autoZero"/>
        <c:auto val="1"/>
        <c:lblAlgn val="ctr"/>
        <c:lblOffset val="100"/>
        <c:noMultiLvlLbl val="0"/>
      </c:catAx>
      <c:valAx>
        <c:axId val="160748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79.88</c:v>
                </c:pt>
                <c:pt idx="1">
                  <c:v>21.150000000000002</c:v>
                </c:pt>
                <c:pt idx="2">
                  <c:v>0.95</c:v>
                </c:pt>
                <c:pt idx="3">
                  <c:v>0</c:v>
                </c:pt>
                <c:pt idx="4">
                  <c:v>0</c:v>
                </c:pt>
                <c:pt idx="5">
                  <c:v>0.78</c:v>
                </c:pt>
                <c:pt idx="6">
                  <c:v>0</c:v>
                </c:pt>
                <c:pt idx="7">
                  <c:v>2.25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97.86</c:v>
                </c:pt>
                <c:pt idx="2">
                  <c:v>0.97</c:v>
                </c:pt>
                <c:pt idx="3">
                  <c:v>0</c:v>
                </c:pt>
                <c:pt idx="4">
                  <c:v>0</c:v>
                </c:pt>
                <c:pt idx="5">
                  <c:v>3.9299999999999997</c:v>
                </c:pt>
                <c:pt idx="6">
                  <c:v>0</c:v>
                </c:pt>
                <c:pt idx="7">
                  <c:v>2.25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-79.88</c:v>
                </c:pt>
                <c:pt idx="1">
                  <c:v>76.709999999999994</c:v>
                </c:pt>
                <c:pt idx="2">
                  <c:v>2.0000000000000018E-2</c:v>
                </c:pt>
                <c:pt idx="3">
                  <c:v>0</c:v>
                </c:pt>
                <c:pt idx="4">
                  <c:v>0</c:v>
                </c:pt>
                <c:pt idx="5">
                  <c:v>3.1499999999999995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484368"/>
        <c:axId val="1607482736"/>
      </c:barChart>
      <c:catAx>
        <c:axId val="160748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2736"/>
        <c:crosses val="autoZero"/>
        <c:auto val="1"/>
        <c:lblAlgn val="ctr"/>
        <c:lblOffset val="100"/>
        <c:noMultiLvlLbl val="0"/>
      </c:catAx>
      <c:valAx>
        <c:axId val="160748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8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5.5511151231257827E-16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1-4BE2-AE93-1453CBBC6ED6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7.07</c:v>
                </c:pt>
                <c:pt idx="1">
                  <c:v>1.2599999999999998</c:v>
                </c:pt>
                <c:pt idx="2">
                  <c:v>5.5511151231257827E-16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490352"/>
        <c:axId val="1607477296"/>
      </c:barChart>
      <c:catAx>
        <c:axId val="160749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77296"/>
        <c:crosses val="autoZero"/>
        <c:auto val="1"/>
        <c:lblAlgn val="ctr"/>
        <c:lblOffset val="100"/>
        <c:noMultiLvlLbl val="0"/>
      </c:catAx>
      <c:valAx>
        <c:axId val="160747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749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GrpSpPr/>
      </xdr:nvGrpSpPr>
      <xdr:grpSpPr>
        <a:xfrm>
          <a:off x="152401" y="856310"/>
          <a:ext cx="6715124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pSpPr/>
      </xdr:nvGrpSpPr>
      <xdr:grpSpPr>
        <a:xfrm>
          <a:off x="205741" y="893445"/>
          <a:ext cx="5164455" cy="78131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xmlns="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xmlns="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xmlns="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xmlns="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GrpSpPr/>
      </xdr:nvGrpSpPr>
      <xdr:grpSpPr>
        <a:xfrm>
          <a:off x="180975" y="927735"/>
          <a:ext cx="749427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xmlns="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xmlns="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xmlns="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xmlns="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GrpSpPr/>
      </xdr:nvGrpSpPr>
      <xdr:grpSpPr>
        <a:xfrm>
          <a:off x="215265" y="1057275"/>
          <a:ext cx="689038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xmlns="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xmlns="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xmlns="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xmlns="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GrpSpPr/>
      </xdr:nvGrpSpPr>
      <xdr:grpSpPr>
        <a:xfrm>
          <a:off x="137160" y="929640"/>
          <a:ext cx="653796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xmlns="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xmlns="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pSpPr/>
      </xdr:nvGrpSpPr>
      <xdr:grpSpPr>
        <a:xfrm>
          <a:off x="182881" y="956310"/>
          <a:ext cx="5795009" cy="77750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xmlns="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xmlns="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GrpSpPr/>
      </xdr:nvGrpSpPr>
      <xdr:grpSpPr>
        <a:xfrm>
          <a:off x="200025" y="1003935"/>
          <a:ext cx="4842509" cy="77940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xmlns="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xmlns="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xmlns="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xmlns="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GrpSpPr/>
      </xdr:nvGrpSpPr>
      <xdr:grpSpPr>
        <a:xfrm>
          <a:off x="381000" y="891540"/>
          <a:ext cx="509016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xmlns="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xmlns="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xmlns="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xmlns="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GrpSpPr/>
      </xdr:nvGrpSpPr>
      <xdr:grpSpPr>
        <a:xfrm>
          <a:off x="167640" y="914400"/>
          <a:ext cx="614934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xmlns="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xmlns="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xmlns="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xmlns="" id="{00000000-0008-0000-1300-00003B000000}"/>
            </a:ext>
          </a:extLst>
        </xdr:cNvPr>
        <xdr:cNvGrpSpPr/>
      </xdr:nvGrpSpPr>
      <xdr:grpSpPr>
        <a:xfrm>
          <a:off x="220980" y="1005840"/>
          <a:ext cx="4282440" cy="76416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xmlns="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xmlns="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xmlns="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xmlns="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xmlns="" id="{00000000-0008-0000-1400-00004F000000}"/>
            </a:ext>
          </a:extLst>
        </xdr:cNvPr>
        <xdr:cNvGrpSpPr/>
      </xdr:nvGrpSpPr>
      <xdr:grpSpPr>
        <a:xfrm>
          <a:off x="190501" y="947997"/>
          <a:ext cx="4892212" cy="77213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xmlns="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xmlns="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xmlns="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xmlns="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GrpSpPr/>
      </xdr:nvGrpSpPr>
      <xdr:grpSpPr>
        <a:xfrm>
          <a:off x="198120" y="784860"/>
          <a:ext cx="522732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xmlns="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xmlns="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xmlns="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xmlns="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GrpSpPr/>
      </xdr:nvGrpSpPr>
      <xdr:grpSpPr>
        <a:xfrm>
          <a:off x="223241" y="1197764"/>
          <a:ext cx="542443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xmlns="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xmlns="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xmlns="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xmlns="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GrpSpPr/>
      </xdr:nvGrpSpPr>
      <xdr:grpSpPr>
        <a:xfrm>
          <a:off x="239605" y="886459"/>
          <a:ext cx="5209540" cy="7700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xmlns="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xmlns="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xmlns="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xmlns="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GrpSpPr/>
      </xdr:nvGrpSpPr>
      <xdr:grpSpPr>
        <a:xfrm>
          <a:off x="152401" y="891540"/>
          <a:ext cx="4754880" cy="76416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xmlns="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xmlns="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xmlns="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xmlns="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xmlns="" id="{00000000-0008-0000-1900-00002A000000}"/>
            </a:ext>
          </a:extLst>
        </xdr:cNvPr>
        <xdr:cNvGrpSpPr/>
      </xdr:nvGrpSpPr>
      <xdr:grpSpPr>
        <a:xfrm>
          <a:off x="184219" y="1210743"/>
          <a:ext cx="4456695" cy="748172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xmlns="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xmlns="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xmlns="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xmlns="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pSpPr/>
      </xdr:nvGrpSpPr>
      <xdr:grpSpPr>
        <a:xfrm>
          <a:off x="2792548" y="1402081"/>
          <a:ext cx="692467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xmlns="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xmlns="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xmlns="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pSpPr/>
      </xdr:nvGrpSpPr>
      <xdr:grpSpPr>
        <a:xfrm>
          <a:off x="200025" y="886649"/>
          <a:ext cx="6829425" cy="766071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xmlns="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xmlns="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xmlns="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xmlns="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40625" defaultRowHeight="14.45" customHeight="1" zeroHeight="1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>
      <c r="A1" s="8"/>
      <c r="B1" s="8"/>
      <c r="C1" s="8"/>
      <c r="D1" s="8"/>
      <c r="E1" s="8"/>
      <c r="F1" s="8"/>
      <c r="G1" s="8"/>
    </row>
    <row r="2" spans="1:7" ht="16.5" customHeight="1"/>
    <row r="3" spans="1:7" ht="16.5" customHeight="1"/>
    <row r="4" spans="1:7" ht="16.5" customHeight="1"/>
    <row r="5" spans="1:7" ht="16.5" customHeight="1"/>
    <row r="6" spans="1:7" ht="16.5" customHeight="1"/>
    <row r="7" spans="1:7" ht="16.5" customHeight="1"/>
    <row r="8" spans="1:7" ht="16.5" customHeight="1"/>
    <row r="9" spans="1:7" ht="16.5" customHeight="1"/>
    <row r="10" spans="1:7" ht="16.5" customHeight="1"/>
    <row r="11" spans="1:7" ht="16.5" customHeight="1"/>
    <row r="12" spans="1:7" ht="16.5" customHeight="1"/>
    <row r="13" spans="1:7" ht="16.5" customHeight="1"/>
    <row r="14" spans="1:7" ht="16.5" customHeight="1"/>
    <row r="15" spans="1:7" ht="16.5" customHeight="1"/>
    <row r="16" spans="1:7" ht="16.5" customHeight="1"/>
    <row r="17" spans="10:10" ht="16.5" customHeight="1"/>
    <row r="18" spans="10:10" ht="16.5" customHeight="1"/>
    <row r="19" spans="10:10" ht="16.5" customHeight="1"/>
    <row r="20" spans="10:10" ht="16.5" customHeight="1"/>
    <row r="21" spans="10:10" ht="16.5" customHeight="1"/>
    <row r="22" spans="10:10" ht="16.5" customHeight="1"/>
    <row r="23" spans="10:10" ht="16.5" customHeight="1"/>
    <row r="24" spans="10:10" ht="16.5" customHeight="1"/>
    <row r="25" spans="10:10" ht="16.5" customHeight="1">
      <c r="J25" s="10"/>
    </row>
    <row r="26" spans="10:10" ht="16.5" customHeight="1"/>
    <row r="27" spans="10:10" ht="16.5" customHeight="1"/>
    <row r="28" spans="10:10" ht="16.5" customHeight="1"/>
    <row r="29" spans="10:10" ht="16.5" customHeight="1"/>
    <row r="30" spans="10:10" ht="16.5" customHeight="1"/>
    <row r="31" spans="10:10" ht="16.5" customHeight="1"/>
    <row r="32" spans="10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3" ht="14.45" customHeight="1"/>
    <row r="584" ht="14.45" customHeight="1"/>
    <row r="585" ht="14.45" customHeight="1"/>
    <row r="586" ht="14.45" customHeight="1"/>
    <row r="587" ht="14.45" customHeight="1"/>
    <row r="588" ht="14.45" customHeight="1"/>
    <row r="589" ht="14.45" customHeight="1"/>
    <row r="590" ht="14.45" customHeight="1"/>
    <row r="591" ht="14.45" customHeight="1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N266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Z15" sqref="Z15"/>
    </sheetView>
  </sheetViews>
  <sheetFormatPr defaultColWidth="0" defaultRowHeight="15" zeroHeight="1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.75" thickBot="1"/>
    <row r="2" spans="1:34" ht="18.75" customHeight="1" thickBot="1">
      <c r="D2" s="992" t="str">
        <f>IF(Start!$F$12="","",Start!$F$12)</f>
        <v>Cotmoor Solar farm</v>
      </c>
      <c r="E2" s="994"/>
      <c r="F2" s="354"/>
      <c r="G2" s="354"/>
      <c r="H2" s="354"/>
      <c r="P2" s="1004" t="str">
        <f>IF(OR(COUNTIF($O$11:O256,"*30+*")&gt;0,COUNTIF($S$11:S256,"*30+*")&gt;0),"Note; Habitat selected has a time to target condition greater than 30 years. Non standard agreement may be required.","")</f>
        <v/>
      </c>
      <c r="Q2" s="1004"/>
      <c r="R2" s="1004"/>
      <c r="S2" s="1004"/>
    </row>
    <row r="3" spans="1:34" ht="24" customHeight="1" thickBot="1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04"/>
      <c r="Q3" s="1004"/>
      <c r="R3" s="1004"/>
      <c r="S3" s="1004"/>
      <c r="W3" s="1003"/>
      <c r="X3" s="1003"/>
      <c r="Y3" s="1003"/>
      <c r="Z3" s="1003"/>
    </row>
    <row r="4" spans="1:34" ht="12.6" customHeight="1">
      <c r="F4" s="354"/>
      <c r="G4" s="354"/>
      <c r="H4" s="354"/>
      <c r="I4" s="354"/>
      <c r="J4" s="354"/>
      <c r="O4" s="673"/>
      <c r="P4" s="673"/>
      <c r="Q4" s="673"/>
      <c r="R4" s="673"/>
      <c r="W4" s="1003"/>
      <c r="X4" s="1003"/>
      <c r="Y4" s="1003"/>
      <c r="Z4" s="1003"/>
    </row>
    <row r="5" spans="1:34" ht="15.6" customHeight="1">
      <c r="M5" s="383"/>
      <c r="N5" s="356"/>
      <c r="O5" s="673"/>
      <c r="P5" s="1005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05"/>
      <c r="R5" s="1005"/>
      <c r="S5" s="1005"/>
      <c r="W5" s="1003"/>
      <c r="X5" s="1003"/>
      <c r="Y5" s="1003"/>
      <c r="Z5" s="1003"/>
    </row>
    <row r="6" spans="1:34" ht="19.149999999999999" customHeight="1">
      <c r="O6" s="673"/>
      <c r="P6" s="1005"/>
      <c r="Q6" s="1005"/>
      <c r="R6" s="1005"/>
      <c r="S6" s="1005"/>
      <c r="W6" s="1003"/>
      <c r="X6" s="1003"/>
      <c r="Y6" s="1003"/>
      <c r="Z6" s="1003"/>
    </row>
    <row r="7" spans="1:34" ht="39" customHeight="1" thickBot="1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5.75" thickBot="1">
      <c r="D8" s="1013" t="s">
        <v>990</v>
      </c>
      <c r="E8" s="1014"/>
      <c r="F8" s="1014"/>
      <c r="G8" s="1014"/>
      <c r="H8" s="1014"/>
      <c r="I8" s="1014"/>
      <c r="J8" s="1014"/>
      <c r="K8" s="1014"/>
      <c r="L8" s="1014"/>
      <c r="M8" s="1014"/>
      <c r="N8" s="1014"/>
      <c r="O8" s="1014"/>
      <c r="P8" s="1014"/>
      <c r="Q8" s="1014"/>
      <c r="R8" s="1014"/>
      <c r="S8" s="1014"/>
      <c r="T8" s="1014"/>
      <c r="U8" s="1014"/>
      <c r="V8" s="1014"/>
      <c r="W8" s="1014"/>
      <c r="X8" s="1014"/>
      <c r="Y8" s="1014"/>
      <c r="Z8" s="1014"/>
      <c r="AA8" s="1015"/>
      <c r="AE8" s="1006" t="s">
        <v>1476</v>
      </c>
    </row>
    <row r="9" spans="1:34" s="54" customFormat="1" ht="15" customHeight="1" thickBot="1">
      <c r="B9" s="52"/>
      <c r="D9" s="1011" t="s">
        <v>372</v>
      </c>
      <c r="E9" s="1007" t="s">
        <v>987</v>
      </c>
      <c r="F9" s="1007" t="s">
        <v>987</v>
      </c>
      <c r="G9" s="1009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06"/>
      <c r="AF9" s="52"/>
      <c r="AG9" s="52"/>
      <c r="AH9" s="52"/>
    </row>
    <row r="10" spans="1:34" ht="42.75">
      <c r="A10" s="60" t="s">
        <v>1298</v>
      </c>
      <c r="D10" s="1012"/>
      <c r="E10" s="1008"/>
      <c r="F10" s="1008"/>
      <c r="G10" s="1010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6"/>
      <c r="Z10" s="596" t="s">
        <v>991</v>
      </c>
      <c r="AA10" s="598" t="s">
        <v>992</v>
      </c>
      <c r="AE10" s="52" t="s">
        <v>2</v>
      </c>
    </row>
    <row r="11" spans="1:34" ht="45">
      <c r="A11" s="52" t="str">
        <f>IFERROR(INDEX('G-8 Condition Look up'!$I$4:$I$131,MATCH(F11,'G-8 Condition Look up'!$A$4:$A$131,0)),"")</f>
        <v>Cond4</v>
      </c>
      <c r="C11" s="637" t="str">
        <f>IFERROR(INDEX('G-1 All Habitats'!$AG$3:$AG$15,MATCH(D11,'G-1 All Habitats'!$AF$3:$AF$15,0)),"")</f>
        <v>Grassland</v>
      </c>
      <c r="D11" s="640" t="s">
        <v>135</v>
      </c>
      <c r="E11" s="631" t="s">
        <v>171</v>
      </c>
      <c r="F11" s="632" t="str">
        <f>IFERROR(INDEX('G-1 All Habitats'!$B$3:$B$130,MATCH(E11,'G-1 All Habitats'!$A$3:$A$130,0)),"")</f>
        <v>Grassland - Modified grassland</v>
      </c>
      <c r="G11" s="76">
        <v>75.95</v>
      </c>
      <c r="H11" s="77" t="str">
        <f>IF(F11="","",VLOOKUP(F11,'G-1 All Habitats'!$B$2:$M$130,10,FALSE))</f>
        <v>Low</v>
      </c>
      <c r="I11" s="78">
        <f>IFERROR(VLOOKUP(H11,'G-1 All Habitats'!$V$3:$W$7,2,FALSE),"")</f>
        <v>2</v>
      </c>
      <c r="J11" s="79" t="s">
        <v>1</v>
      </c>
      <c r="K11" s="78">
        <f>IFERROR(INDEX('G-8 Condition Look up'!$A$3:$H$131,MATCH(F11,'G-8 Condition Look up'!$A$3:$A$131,0),MATCH(J11,'G-8 Condition Look up'!$A$3:$H$3,0)),"")</f>
        <v>2</v>
      </c>
      <c r="L11" s="79" t="s">
        <v>970</v>
      </c>
      <c r="M11" s="359" t="str">
        <f>IF(L11="","",IF(VLOOKUP(L11,'G-3 Multipliers'!$L$3:$N$6,2,FALSE)=0,"Spatial Data Missing",VLOOKUP(L11,'G-3 Multipliers'!$L$3:$N$6,2,FALSE)))</f>
        <v>Low Strategic Significance</v>
      </c>
      <c r="N11" s="617">
        <f>IF(L11="","",IF(VLOOKUP(L11,'G-3 Multipliers'!$L$3:$N$6,3,FALSE)=0,"Spatial Data Missing",VLOOKUP(L11,'G-3 Multipliers'!$L$3:$N$6,3,FALSE)))</f>
        <v>1</v>
      </c>
      <c r="O11" s="77">
        <f t="shared" ref="O11:O74" si="0">IFERROR(INDEX(TemporalData,MATCH(F11,TemporalHabitats,0),MATCH(J11,TemporalConditions,0)),"")</f>
        <v>4</v>
      </c>
      <c r="P11" s="94">
        <v>0</v>
      </c>
      <c r="Q11" s="94">
        <v>0</v>
      </c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64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4</v>
      </c>
      <c r="T11" s="370">
        <f>IFERROR(IF(S11="Check Data","Check Data",VLOOKUP(S11,'G-4 Temporal multipliers'!$A$4:$C$37,3,FALSE)),"")</f>
        <v>0.86718000059999989</v>
      </c>
      <c r="U11" s="642" t="str">
        <f>IF(F11="","",VLOOKUP(F11,'G-3 Multipliers'!$A$2:$E$130,2,FALSE))</f>
        <v>Low</v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62">
        <f>IFERROR(IF(E11="","",VLOOKUP(W11, 'G-3 Multipliers'!$P$2:$Q$6,2,FALSE)),””)</f>
        <v>1</v>
      </c>
      <c r="Y11" s="645">
        <f>IFERROR(G11*I11*K11*N11*T11*X11,"")</f>
        <v>263.44928418228</v>
      </c>
      <c r="Z11" s="372" t="s">
        <v>1527</v>
      </c>
      <c r="AA11" s="373"/>
      <c r="AE11" s="59">
        <f t="shared" ref="AE11:AE74" si="1">IFERROR(INDEX(TemporalData,MATCH(F11,TemporalHabitats,0),MATCH($AE$10,TemporalConditions,0)),"")</f>
        <v>1</v>
      </c>
    </row>
    <row r="12" spans="1:34" ht="45">
      <c r="A12" s="52" t="str">
        <f>IFERROR(INDEX('G-8 Condition Look up'!$I$4:$I$131,MATCH(F12,'G-8 Condition Look up'!$A$4:$A$131,0)),"")</f>
        <v>Cond4</v>
      </c>
      <c r="C12" s="638" t="str">
        <f>IFERROR(INDEX('G-1 All Habitats'!$AG$3:$AG$15,MATCH(D12,'G-1 All Habitats'!$AF$3:$AF$15,0)),"")</f>
        <v>Grassland</v>
      </c>
      <c r="D12" s="364" t="s">
        <v>135</v>
      </c>
      <c r="E12" s="385" t="s">
        <v>18</v>
      </c>
      <c r="F12" s="384" t="str">
        <f>IFERROR(INDEX('G-1 All Habitats'!$B$3:$B$130,MATCH(E12,'G-1 All Habitats'!$A$3:$A$130,0)),"")</f>
        <v>Grassland - Other neutral grassland</v>
      </c>
      <c r="G12" s="76">
        <v>21.91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1</v>
      </c>
      <c r="K12" s="78">
        <f>IFERROR(INDEX('G-8 Condition Look up'!$A$3:$H$131,MATCH(F12,'G-8 Condition Look up'!$A$3:$A$131,0),MATCH(J12,'G-8 Condition Look up'!$A$3:$H$3,0)),"")</f>
        <v>2</v>
      </c>
      <c r="L12" s="79" t="s">
        <v>970</v>
      </c>
      <c r="M12" s="365" t="str">
        <f>IF(L12="","",IF(VLOOKUP(L12,'G-3 Multipliers'!$L$3:$N$6,2,FALSE)=0,"Spatial Data Missing",VLOOKUP(L12,'G-3 Multipliers'!$L$3:$N$6,2,FALSE)))</f>
        <v>Low Strategic Significance</v>
      </c>
      <c r="N12" s="617">
        <f>IF(L12="","",IF(VLOOKUP(L12,'G-3 Multipliers'!$L$3:$N$6,3,FALSE)=0,"Spatial Data Missing",VLOOKUP(L12,'G-3 Multipliers'!$L$3:$N$6,3,FALSE)))</f>
        <v>1</v>
      </c>
      <c r="O12" s="77">
        <f t="shared" si="0"/>
        <v>5</v>
      </c>
      <c r="P12" s="94">
        <v>0</v>
      </c>
      <c r="Q12" s="94">
        <v>0</v>
      </c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64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643">
        <f>IFERROR(IF(S12="Check Data","Check Data",VLOOKUP(S12,'G-4 Temporal multipliers'!$A$4:$C$37,3,FALSE)),"")</f>
        <v>0.83682870060000003</v>
      </c>
      <c r="U12" s="642" t="str">
        <f>IF(F12="","",VLOOKUP(F12,'G-3 Multipliers'!$A$2:$E$130,2,FALSE))</f>
        <v>Low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62">
        <f>IFERROR(IF(E12="","",VLOOKUP(W12, 'G-3 Multipliers'!$P$2:$Q$6,2,FALSE)),””)</f>
        <v>1</v>
      </c>
      <c r="Y12" s="645">
        <f t="shared" ref="Y12:Y75" si="5">IFERROR(G12*I12*K12*N12*T12*X12,"")</f>
        <v>146.679334641168</v>
      </c>
      <c r="Z12" s="372" t="s">
        <v>1528</v>
      </c>
      <c r="AA12" s="373"/>
      <c r="AE12" s="59">
        <f t="shared" si="1"/>
        <v>2</v>
      </c>
    </row>
    <row r="13" spans="1:34" ht="45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Heathland_and_shrub</v>
      </c>
      <c r="D13" s="364" t="s">
        <v>164</v>
      </c>
      <c r="E13" s="385" t="s">
        <v>38</v>
      </c>
      <c r="F13" s="384" t="str">
        <f>IFERROR(INDEX('G-1 All Habitats'!$B$3:$B$130,MATCH(E13,'G-1 All Habitats'!$A$3:$A$130,0)),"")</f>
        <v>Heathland and shrub - Mixed scrub</v>
      </c>
      <c r="G13" s="76">
        <v>0.5</v>
      </c>
      <c r="H13" s="77" t="str">
        <f>IF(F13="","",VLOOKUP(F13,'G-1 All Habitats'!$B$2:$M$130,10,FALSE))</f>
        <v>Medium</v>
      </c>
      <c r="I13" s="78">
        <f>IFERROR(VLOOKUP(H13,'G-1 All Habitats'!$V$3:$W$7,2,FALSE),"")</f>
        <v>4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970</v>
      </c>
      <c r="M13" s="365" t="str">
        <f>IF(L13="","",IF(VLOOKUP(L13,'G-3 Multipliers'!$L$3:$N$6,2,FALSE)=0,"Spatial Data Missing",VLOOKUP(L13,'G-3 Multipliers'!$L$3:$N$6,2,FALSE)))</f>
        <v>Low Strategic Significance</v>
      </c>
      <c r="N13" s="617">
        <f>IF(L13="","",IF(VLOOKUP(L13,'G-3 Multipliers'!$L$3:$N$6,3,FALSE)=0,"Spatial Data Missing",VLOOKUP(L13,'G-3 Multipliers'!$L$3:$N$6,3,FALSE)))</f>
        <v>1</v>
      </c>
      <c r="O13" s="77">
        <f t="shared" si="0"/>
        <v>5</v>
      </c>
      <c r="P13" s="94">
        <v>0</v>
      </c>
      <c r="Q13" s="94">
        <v>0</v>
      </c>
      <c r="R13" s="359" t="str">
        <f t="shared" si="2"/>
        <v>Standard time to target condition applied</v>
      </c>
      <c r="S13" s="641">
        <f t="shared" si="3"/>
        <v>5</v>
      </c>
      <c r="T13" s="643">
        <f>IFERROR(IF(S13="Check Data","Check Data",VLOOKUP(S13,'G-4 Temporal multipliers'!$A$4:$C$37,3,FALSE)),"")</f>
        <v>0.83682870060000003</v>
      </c>
      <c r="U13" s="642" t="str">
        <f>IF(F13="","",VLOOKUP(F13,'G-3 Multipliers'!$A$2:$E$130,2,FALSE))</f>
        <v>Low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62">
        <f>IFERROR(IF(E13="","",VLOOKUP(W13, 'G-3 Multipliers'!$P$2:$Q$6,2,FALSE)),””)</f>
        <v>1</v>
      </c>
      <c r="Y13" s="645">
        <f t="shared" si="5"/>
        <v>3.3473148024000001</v>
      </c>
      <c r="Z13" s="372" t="s">
        <v>1529</v>
      </c>
      <c r="AA13" s="373"/>
      <c r="AE13" s="59">
        <f t="shared" si="1"/>
        <v>1</v>
      </c>
    </row>
    <row r="14" spans="1:34" ht="30">
      <c r="A14" s="52" t="str">
        <f>IFERROR(INDEX('G-8 Condition Look up'!$I$4:$I$131,MATCH(F14,'G-8 Condition Look up'!$A$4:$A$131,0)),"")</f>
        <v>Cond2</v>
      </c>
      <c r="C14" s="638" t="str">
        <f>IFERROR(INDEX('G-1 All Habitats'!$AG$3:$AG$15,MATCH(D14,'G-1 All Habitats'!$AF$3:$AF$15,0)),"")</f>
        <v>Urban</v>
      </c>
      <c r="D14" s="364" t="s">
        <v>166</v>
      </c>
      <c r="E14" s="385" t="s">
        <v>203</v>
      </c>
      <c r="F14" s="384" t="str">
        <f>IFERROR(INDEX('G-1 All Habitats'!$B$3:$B$130,MATCH(E14,'G-1 All Habitats'!$A$3:$A$130,0)),"")</f>
        <v>Urban - Developed land; sealed surface</v>
      </c>
      <c r="G14" s="76">
        <v>3.1</v>
      </c>
      <c r="H14" s="77" t="str">
        <f>IF(F14="","",VLOOKUP(F14,'G-1 All Habitats'!$B$2:$M$130,10,FALSE))</f>
        <v>V.Low</v>
      </c>
      <c r="I14" s="78">
        <f>IFERROR(VLOOKUP(H14,'G-1 All Habitats'!$V$3:$W$7,2,FALSE),"")</f>
        <v>0</v>
      </c>
      <c r="J14" s="79" t="s">
        <v>119</v>
      </c>
      <c r="K14" s="78">
        <f>IFERROR(INDEX('G-8 Condition Look up'!$A$3:$H$131,MATCH(F14,'G-8 Condition Look up'!$A$3:$A$131,0),MATCH(J14,'G-8 Condition Look up'!$A$3:$H$3,0)),"")</f>
        <v>0</v>
      </c>
      <c r="L14" s="79" t="s">
        <v>970</v>
      </c>
      <c r="M14" s="365" t="str">
        <f>IF(L14="","",IF(VLOOKUP(L14,'G-3 Multipliers'!$L$3:$N$6,2,FALSE)=0,"Spatial Data Missing",VLOOKUP(L14,'G-3 Multipliers'!$L$3:$N$6,2,FALSE)))</f>
        <v>Low Strategic Significance</v>
      </c>
      <c r="N14" s="617">
        <f>IF(L14="","",IF(VLOOKUP(L14,'G-3 Multipliers'!$L$3:$N$6,3,FALSE)=0,"Spatial Data Missing",VLOOKUP(L14,'G-3 Multipliers'!$L$3:$N$6,3,FALSE)))</f>
        <v>1</v>
      </c>
      <c r="O14" s="77">
        <f t="shared" si="0"/>
        <v>0</v>
      </c>
      <c r="P14" s="94">
        <v>0</v>
      </c>
      <c r="Q14" s="94">
        <v>0</v>
      </c>
      <c r="R14" s="359" t="str">
        <f t="shared" si="2"/>
        <v>Standard time to target condition applied</v>
      </c>
      <c r="S14" s="641">
        <f t="shared" si="3"/>
        <v>0</v>
      </c>
      <c r="T14" s="643">
        <f>IFERROR(IF(S14="Check Data","Check Data",VLOOKUP(S14,'G-4 Temporal multipliers'!$A$4:$C$37,3,FALSE)),"")</f>
        <v>1</v>
      </c>
      <c r="U14" s="642" t="str">
        <f>IF(F14="","",VLOOKUP(F14,'G-3 Multipliers'!$A$2:$E$130,2,FALSE))</f>
        <v>Low</v>
      </c>
      <c r="V14" s="359" t="str">
        <f t="shared" si="4"/>
        <v>Standard difficulty applied</v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>Medium</v>
      </c>
      <c r="X14" s="362">
        <f>IFERROR(IF(E14="","",VLOOKUP(W14, 'G-3 Multipliers'!$P$2:$Q$6,2,FALSE)),””)</f>
        <v>0.67</v>
      </c>
      <c r="Y14" s="645">
        <f t="shared" si="5"/>
        <v>0</v>
      </c>
      <c r="Z14" s="372" t="s">
        <v>1523</v>
      </c>
      <c r="AA14" s="373"/>
      <c r="AE14" s="59" t="str">
        <f t="shared" si="1"/>
        <v>Not Possible</v>
      </c>
    </row>
    <row r="15" spans="1:34" ht="45">
      <c r="A15" s="52" t="str">
        <f>IFERROR(INDEX('G-8 Condition Look up'!$I$4:$I$131,MATCH(F15,'G-8 Condition Look up'!$A$4:$A$131,0)),"")</f>
        <v>Cond4</v>
      </c>
      <c r="C15" s="638" t="str">
        <f>IFERROR(INDEX('G-1 All Habitats'!$AG$3:$AG$15,MATCH(D15,'G-1 All Habitats'!$AF$3:$AF$15,0)),"")</f>
        <v>Urban</v>
      </c>
      <c r="D15" s="364" t="s">
        <v>166</v>
      </c>
      <c r="E15" s="385" t="s">
        <v>233</v>
      </c>
      <c r="F15" s="384" t="str">
        <f>IFERROR(INDEX('G-1 All Habitats'!$B$3:$B$130,MATCH(E15,'G-1 All Habitats'!$A$3:$A$130,0)),"")</f>
        <v>Urban - Bioswale</v>
      </c>
      <c r="G15" s="76">
        <v>0.05</v>
      </c>
      <c r="H15" s="77" t="str">
        <f>IF(F15="","",VLOOKUP(F15,'G-1 All Habitats'!$B$2:$M$130,10,FALSE))</f>
        <v>Low</v>
      </c>
      <c r="I15" s="78">
        <f>IFERROR(VLOOKUP(H15,'G-1 All Habitats'!$V$3:$W$7,2,FALSE),"")</f>
        <v>2</v>
      </c>
      <c r="J15" s="79" t="s">
        <v>1</v>
      </c>
      <c r="K15" s="78">
        <f>IFERROR(INDEX('G-8 Condition Look up'!$A$3:$H$131,MATCH(F15,'G-8 Condition Look up'!$A$3:$A$131,0),MATCH(J15,'G-8 Condition Look up'!$A$3:$H$3,0)),"")</f>
        <v>2</v>
      </c>
      <c r="L15" s="79" t="s">
        <v>970</v>
      </c>
      <c r="M15" s="365" t="str">
        <f>IF(L15="","",IF(VLOOKUP(L15,'G-3 Multipliers'!$L$3:$N$6,2,FALSE)=0,"Spatial Data Missing",VLOOKUP(L15,'G-3 Multipliers'!$L$3:$N$6,2,FALSE)))</f>
        <v>Low Strategic Significance</v>
      </c>
      <c r="N15" s="617">
        <f>IF(L15="","",IF(VLOOKUP(L15,'G-3 Multipliers'!$L$3:$N$6,3,FALSE)=0,"Spatial Data Missing",VLOOKUP(L15,'G-3 Multipliers'!$L$3:$N$6,3,FALSE)))</f>
        <v>1</v>
      </c>
      <c r="O15" s="77">
        <f t="shared" si="0"/>
        <v>1</v>
      </c>
      <c r="P15" s="94">
        <v>0</v>
      </c>
      <c r="Q15" s="94">
        <v>0</v>
      </c>
      <c r="R15" s="359" t="str">
        <f t="shared" si="2"/>
        <v>Standard time to target condition applied</v>
      </c>
      <c r="S15" s="641">
        <f t="shared" si="3"/>
        <v>1</v>
      </c>
      <c r="T15" s="643">
        <f>IFERROR(IF(S15="Check Data","Check Data",VLOOKUP(S15,'G-4 Temporal multipliers'!$A$4:$C$37,3,FALSE)),"")</f>
        <v>0.96499999999999997</v>
      </c>
      <c r="U15" s="642" t="str">
        <f>IF(F15="","",VLOOKUP(F15,'G-3 Multipliers'!$A$2:$E$130,2,FALSE))</f>
        <v>Medium</v>
      </c>
      <c r="V15" s="359" t="str">
        <f t="shared" si="4"/>
        <v>Standard difficulty applied</v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>Medium</v>
      </c>
      <c r="X15" s="362">
        <f>IFERROR(IF(E15="","",VLOOKUP(W15, 'G-3 Multipliers'!$P$2:$Q$6,2,FALSE)),””)</f>
        <v>0.67</v>
      </c>
      <c r="Y15" s="645">
        <f t="shared" si="5"/>
        <v>0.12931000000000001</v>
      </c>
      <c r="Z15" s="372" t="s">
        <v>1530</v>
      </c>
      <c r="AA15" s="373"/>
      <c r="AE15" s="59">
        <f t="shared" si="1"/>
        <v>1</v>
      </c>
    </row>
    <row r="16" spans="1:34">
      <c r="A16" s="52" t="str">
        <f>IFERROR(INDEX('G-8 Condition Look up'!$I$4:$I$131,MATCH(F16,'G-8 Condition Look up'!$A$4:$A$131,0)),"")</f>
        <v/>
      </c>
      <c r="C16" s="638" t="str">
        <f>IFERROR(INDEX('G-1 All Habitats'!$AG$3:$AG$15,MATCH(D16,'G-1 All Habitats'!$AF$3:$AF$15,0)),"")</f>
        <v/>
      </c>
      <c r="D16" s="364"/>
      <c r="E16" s="385"/>
      <c r="F16" s="384" t="str">
        <f>IFERROR(INDEX('G-1 All Habitats'!$B$3:$B$130,MATCH(E16,'G-1 All Habitats'!$A$3:$A$130,0)),"")</f>
        <v/>
      </c>
      <c r="G16" s="76"/>
      <c r="H16" s="77" t="str">
        <f>IF(F16="","",VLOOKUP(F16,'G-1 All Habitats'!$B$2:$M$130,10,FALSE))</f>
        <v/>
      </c>
      <c r="I16" s="78" t="str">
        <f>IFERROR(VLOOKUP(H16,'G-1 All Habitats'!$V$3:$W$7,2,FALSE),"")</f>
        <v/>
      </c>
      <c r="J16" s="79"/>
      <c r="K16" s="78" t="str">
        <f>IFERROR(INDEX('G-8 Condition Look up'!$A$3:$H$131,MATCH(F16,'G-8 Condition Look up'!$A$3:$A$131,0),MATCH(J16,'G-8 Condition Look up'!$A$3:$H$3,0)),"")</f>
        <v/>
      </c>
      <c r="L16" s="79"/>
      <c r="M16" s="365" t="str">
        <f>IF(L16="","",IF(VLOOKUP(L16,'G-3 Multipliers'!$L$3:$N$6,2,FALSE)=0,"Spatial Data Missing",VLOOKUP(L16,'G-3 Multipliers'!$L$3:$N$6,2,FALSE)))</f>
        <v/>
      </c>
      <c r="N16" s="617" t="str">
        <f>IF(L16="","",IF(VLOOKUP(L16,'G-3 Multipliers'!$L$3:$N$6,3,FALSE)=0,"Spatial Data Missing",VLOOKUP(L16,'G-3 Multipliers'!$L$3:$N$6,3,FALSE)))</f>
        <v/>
      </c>
      <c r="O16" s="77" t="str">
        <f t="shared" si="0"/>
        <v/>
      </c>
      <c r="P16" s="94"/>
      <c r="Q16" s="94"/>
      <c r="R16" s="359" t="str">
        <f t="shared" si="2"/>
        <v/>
      </c>
      <c r="S16" s="641" t="str">
        <f t="shared" si="3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4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645" t="str">
        <f t="shared" si="5"/>
        <v/>
      </c>
      <c r="Z16" s="372"/>
      <c r="AA16" s="373"/>
      <c r="AE16" s="59" t="str">
        <f t="shared" si="1"/>
        <v/>
      </c>
    </row>
    <row r="17" spans="1:31">
      <c r="A17" s="52" t="str">
        <f>IFERROR(INDEX('G-8 Condition Look up'!$I$4:$I$131,MATCH(F17,'G-8 Condition Look up'!$A$4:$A$131,0)),"")</f>
        <v/>
      </c>
      <c r="C17" s="638" t="str">
        <f>IFERROR(INDEX('G-1 All Habitats'!$AG$3:$AG$15,MATCH(D17,'G-1 All Habitats'!$AF$3:$AF$15,0)),"")</f>
        <v/>
      </c>
      <c r="D17" s="364"/>
      <c r="E17" s="385"/>
      <c r="F17" s="384" t="str">
        <f>IFERROR(INDEX('G-1 All Habitats'!$B$3:$B$130,MATCH(E17,'G-1 All Habitats'!$A$3:$A$130,0)),"")</f>
        <v/>
      </c>
      <c r="G17" s="76"/>
      <c r="H17" s="77" t="str">
        <f>IF(F17="","",VLOOKUP(F17,'G-1 All Habitats'!$B$2:$M$130,10,FALSE))</f>
        <v/>
      </c>
      <c r="I17" s="78" t="str">
        <f>IFERROR(VLOOKUP(H17,'G-1 All Habitats'!$V$3:$W$7,2,FALSE),"")</f>
        <v/>
      </c>
      <c r="J17" s="79"/>
      <c r="K17" s="78" t="str">
        <f>IFERROR(INDEX('G-8 Condition Look up'!$A$3:$H$131,MATCH(F17,'G-8 Condition Look up'!$A$3:$A$131,0),MATCH(J17,'G-8 Condition Look up'!$A$3:$H$3,0)),"")</f>
        <v/>
      </c>
      <c r="L17" s="79"/>
      <c r="M17" s="365" t="str">
        <f>IF(L17="","",IF(VLOOKUP(L17,'G-3 Multipliers'!$L$3:$N$6,2,FALSE)=0,"Spatial Data Missing",VLOOKUP(L17,'G-3 Multipliers'!$L$3:$N$6,2,FALSE)))</f>
        <v/>
      </c>
      <c r="N17" s="617" t="str">
        <f>IF(L17="","",IF(VLOOKUP(L17,'G-3 Multipliers'!$L$3:$N$6,3,FALSE)=0,"Spatial Data Missing",VLOOKUP(L17,'G-3 Multipliers'!$L$3:$N$6,3,FALSE)))</f>
        <v/>
      </c>
      <c r="O17" s="77" t="str">
        <f t="shared" si="0"/>
        <v/>
      </c>
      <c r="P17" s="94"/>
      <c r="Q17" s="94"/>
      <c r="R17" s="359" t="str">
        <f t="shared" si="2"/>
        <v/>
      </c>
      <c r="S17" s="641" t="str">
        <f t="shared" si="3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4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645" t="str">
        <f t="shared" si="5"/>
        <v/>
      </c>
      <c r="Z17" s="372"/>
      <c r="AA17" s="373"/>
      <c r="AE17" s="59" t="str">
        <f t="shared" si="1"/>
        <v/>
      </c>
    </row>
    <row r="18" spans="1:31">
      <c r="A18" s="52" t="str">
        <f>IFERROR(INDEX('G-8 Condition Look up'!$I$4:$I$131,MATCH(F18,'G-8 Condition Look up'!$A$4:$A$131,0)),"")</f>
        <v/>
      </c>
      <c r="C18" s="638" t="str">
        <f>IFERROR(INDEX('G-1 All Habitats'!$AG$3:$AG$15,MATCH(D18,'G-1 All Habitats'!$AF$3:$AF$15,0)),"")</f>
        <v/>
      </c>
      <c r="D18" s="364"/>
      <c r="E18" s="385"/>
      <c r="F18" s="384" t="str">
        <f>IFERROR(INDEX('G-1 All Habitats'!$B$3:$B$130,MATCH(E18,'G-1 All Habitats'!$A$3:$A$130,0)),"")</f>
        <v/>
      </c>
      <c r="G18" s="76"/>
      <c r="H18" s="77" t="str">
        <f>IF(F18="","",VLOOKUP(F18,'G-1 All Habitats'!$B$2:$M$130,10,FALSE))</f>
        <v/>
      </c>
      <c r="I18" s="78" t="str">
        <f>IFERROR(VLOOKUP(H18,'G-1 All Habitats'!$V$3:$W$7,2,FALSE),"")</f>
        <v/>
      </c>
      <c r="J18" s="79"/>
      <c r="K18" s="78" t="str">
        <f>IFERROR(INDEX('G-8 Condition Look up'!$A$3:$H$131,MATCH(F18,'G-8 Condition Look up'!$A$3:$A$131,0),MATCH(J18,'G-8 Condition Look up'!$A$3:$H$3,0)),"")</f>
        <v/>
      </c>
      <c r="L18" s="79"/>
      <c r="M18" s="365" t="str">
        <f>IF(L18="","",IF(VLOOKUP(L18,'G-3 Multipliers'!$L$3:$N$6,2,FALSE)=0,"Spatial Data Missing",VLOOKUP(L18,'G-3 Multipliers'!$L$3:$N$6,2,FALSE)))</f>
        <v/>
      </c>
      <c r="N18" s="617" t="str">
        <f>IF(L18="","",IF(VLOOKUP(L18,'G-3 Multipliers'!$L$3:$N$6,3,FALSE)=0,"Spatial Data Missing",VLOOKUP(L18,'G-3 Multipliers'!$L$3:$N$6,3,FALSE)))</f>
        <v/>
      </c>
      <c r="O18" s="77" t="str">
        <f t="shared" si="0"/>
        <v/>
      </c>
      <c r="P18" s="94"/>
      <c r="Q18" s="94"/>
      <c r="R18" s="359" t="str">
        <f t="shared" si="2"/>
        <v/>
      </c>
      <c r="S18" s="641" t="str">
        <f t="shared" si="3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4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645" t="str">
        <f t="shared" si="5"/>
        <v/>
      </c>
      <c r="Z18" s="372"/>
      <c r="AA18" s="373"/>
      <c r="AE18" s="59" t="str">
        <f t="shared" si="1"/>
        <v/>
      </c>
    </row>
    <row r="19" spans="1:31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5.75" thickBot="1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5.75" thickBot="1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101.50999999999999</v>
      </c>
      <c r="T257" s="386"/>
      <c r="U257" s="386"/>
      <c r="V257" s="386"/>
      <c r="W257" s="386"/>
      <c r="X257" s="610" t="s">
        <v>380</v>
      </c>
      <c r="Y257" s="647">
        <f>SUM(Y11:Y256)</f>
        <v>413.60524362584795</v>
      </c>
    </row>
    <row r="258" spans="5:25">
      <c r="E258" s="52"/>
    </row>
    <row r="259" spans="5:25">
      <c r="E259" s="52"/>
    </row>
    <row r="260" spans="5:25">
      <c r="E260" s="52"/>
    </row>
    <row r="261" spans="5:25">
      <c r="E261" s="52"/>
    </row>
    <row r="262" spans="5:25">
      <c r="E262" s="52"/>
    </row>
    <row r="263" spans="5:25">
      <c r="E263" s="52"/>
    </row>
    <row r="264" spans="5:25">
      <c r="E264" s="52"/>
    </row>
    <row r="265" spans="5:25">
      <c r="E265" s="52"/>
    </row>
    <row r="266" spans="5:25">
      <c r="E266" s="52"/>
    </row>
  </sheetData>
  <sheetProtection password="E2E7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/>
    <dataValidation type="list" allowBlank="1" showInputMessage="1" showErrorMessage="1" sqref="E11:E256">
      <formula1>INDIRECT(C11)</formula1>
    </dataValidation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35" sqref="F35"/>
    </sheetView>
  </sheetViews>
  <sheetFormatPr defaultColWidth="8.85546875" defaultRowHeight="15" zeroHeight="1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.75" thickBot="1"/>
    <row r="2" spans="1:42" ht="19.5" customHeight="1" thickBot="1">
      <c r="E2" s="1028" t="str">
        <f>IF(Start!$F$12="","",Start!$F$12)</f>
        <v>Cotmoor Solar farm</v>
      </c>
      <c r="F2" s="1029"/>
      <c r="G2" s="1030"/>
      <c r="H2" s="354"/>
      <c r="AD2" s="1039" t="str">
        <f ca="1">IF(OR(COUNTIF($AD$12:AD257,"*30+*")&gt;0,COUNTIF(AH12:AH257,"*30+*")&gt;0),"Note; Habitat selected has a time to target condition greater than 30 years. Non standard agreement may be required.","")</f>
        <v/>
      </c>
      <c r="AE2" s="1039"/>
      <c r="AF2" s="1039"/>
      <c r="AG2" s="1039"/>
      <c r="AH2" s="1039"/>
      <c r="AI2" s="1039"/>
    </row>
    <row r="3" spans="1:42" ht="13.15" customHeight="1">
      <c r="E3" s="1031" t="str">
        <f ca="1">MID(CELL("filename",D1),FIND("]",CELL("filename",D1))+1,256)</f>
        <v>A-3 Site Habitat Enhancement</v>
      </c>
      <c r="F3" s="1032"/>
      <c r="G3" s="1033"/>
      <c r="H3" s="354"/>
      <c r="AD3" s="1039"/>
      <c r="AE3" s="1039"/>
      <c r="AF3" s="1039"/>
      <c r="AG3" s="1039"/>
      <c r="AH3" s="1039"/>
      <c r="AI3" s="1039"/>
    </row>
    <row r="4" spans="1:42" ht="15.75" customHeight="1" thickBot="1">
      <c r="E4" s="1034"/>
      <c r="F4" s="1035"/>
      <c r="G4" s="103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>
      <c r="H5" s="354"/>
      <c r="AD5" s="1039" t="str">
        <f ca="1"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2" ht="15.75" customHeight="1">
      <c r="AD6" s="1039"/>
      <c r="AE6" s="1039"/>
      <c r="AF6" s="1039"/>
      <c r="AG6" s="1039"/>
      <c r="AH6" s="1039"/>
      <c r="AI6" s="1039"/>
    </row>
    <row r="7" spans="1:42">
      <c r="E7" s="53"/>
      <c r="F7" s="53"/>
    </row>
    <row r="8" spans="1:42" ht="18" customHeight="1" thickBot="1"/>
    <row r="9" spans="1:42" ht="15.6" customHeight="1" thickBot="1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3" t="s">
        <v>990</v>
      </c>
      <c r="R9" s="1014"/>
      <c r="S9" s="1014"/>
      <c r="T9" s="1014"/>
      <c r="U9" s="1014"/>
      <c r="V9" s="1014"/>
      <c r="W9" s="1014"/>
      <c r="X9" s="1014"/>
      <c r="Y9" s="1014"/>
      <c r="Z9" s="1014"/>
      <c r="AA9" s="1014"/>
      <c r="AB9" s="1014"/>
      <c r="AC9" s="1014"/>
      <c r="AD9" s="1014"/>
      <c r="AE9" s="1014"/>
      <c r="AF9" s="1014"/>
      <c r="AG9" s="1014"/>
      <c r="AH9" s="1014"/>
      <c r="AI9" s="1014"/>
      <c r="AJ9" s="1014"/>
      <c r="AK9" s="1014"/>
      <c r="AL9" s="1014"/>
      <c r="AM9" s="1015"/>
    </row>
    <row r="10" spans="1:42" ht="28.15" customHeight="1" thickBot="1">
      <c r="F10" s="1013" t="s">
        <v>1003</v>
      </c>
      <c r="G10" s="1014"/>
      <c r="H10" s="1014"/>
      <c r="I10" s="1014"/>
      <c r="J10" s="1014"/>
      <c r="K10" s="1014"/>
      <c r="L10" s="1014"/>
      <c r="M10" s="1014"/>
      <c r="N10" s="1014"/>
      <c r="O10" s="1015"/>
      <c r="P10" s="357"/>
      <c r="Q10" s="1037" t="s">
        <v>1312</v>
      </c>
      <c r="R10" s="1038"/>
      <c r="S10" s="663"/>
      <c r="T10" s="1019" t="s">
        <v>1065</v>
      </c>
      <c r="U10" s="1018"/>
      <c r="V10" s="1020" t="s">
        <v>996</v>
      </c>
      <c r="W10" s="1025" t="s">
        <v>127</v>
      </c>
      <c r="X10" s="1025" t="s">
        <v>140</v>
      </c>
      <c r="Y10" s="1025" t="s">
        <v>141</v>
      </c>
      <c r="Z10" s="1023" t="s">
        <v>140</v>
      </c>
      <c r="AA10" s="1017" t="s">
        <v>362</v>
      </c>
      <c r="AB10" s="1019"/>
      <c r="AC10" s="1018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17" t="s">
        <v>145</v>
      </c>
      <c r="AP10" s="1018"/>
    </row>
    <row r="11" spans="1:42" s="54" customFormat="1" ht="43.5" thickBot="1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1"/>
      <c r="W11" s="1026"/>
      <c r="X11" s="1026"/>
      <c r="Y11" s="1026"/>
      <c r="Z11" s="1024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2"/>
      <c r="AO11" s="596" t="s">
        <v>991</v>
      </c>
      <c r="AP11" s="598" t="s">
        <v>992</v>
      </c>
    </row>
    <row r="12" spans="1:42" ht="45">
      <c r="A12" s="52" t="str">
        <f ca="1">IF(E12="","",IF(ISNA(VLOOKUP($E12,'A-1 Site Habitat Baseline'!$D$1:$O$258,2,FALSE)),"",(VLOOKUP($E12,'A-1 Site Habitat Baseline'!$D$1:$O$258,2,FALSE))))</f>
        <v>Heathland and shrub</v>
      </c>
      <c r="B12" s="52" t="str">
        <f ca="1">IF(E12="","",IF(ISNA(VLOOKUP($E12,'A-1 Site Habitat Baseline'!$D$1:$O$258,3,FALSE)),"",(VLOOKUP($E12,'A-1 Site Habitat Baseline'!$D$1:$O$258,3,FALSE))))</f>
        <v>Mixed scrub</v>
      </c>
      <c r="C12" s="52" t="str">
        <f>IFERROR(INDEX('G-8 Condition Look up'!$I$4:$I$131,MATCH(S12,'G-8 Condition Look up'!$A$4:$A$131,0)),"")</f>
        <v>Cond4</v>
      </c>
      <c r="E12" s="358">
        <f>'A-1 Site Habitat Baseline'!AL11</f>
        <v>9</v>
      </c>
      <c r="F12" s="359" t="str">
        <f ca="1">IF(E12="","",IF(ISNA(VLOOKUP($E12,'A-1 Site Habitat Baseline'!$D$1:$O$258,4,FALSE)),"",(VLOOKUP($E12,'A-1 Site Habitat Baseline'!$D$1:$O$258,4,FALSE))))</f>
        <v>Heathland and shrub - Mixed scrub</v>
      </c>
      <c r="G12" s="360">
        <f ca="1">IF(E12="","",IF(ISNA(VLOOKUP($E12,'A-1 Site Habitat Baseline'!$D$1:$O$258,5,FALSE)),"",(VLOOKUP($E12,'A-1 Site Habitat Baseline'!$D$1:$O$258,5,FALSE))))</f>
        <v>0.47</v>
      </c>
      <c r="H12" s="359" t="str">
        <f ca="1">IF(E12="","",IF(ISNA(VLOOKUP($E12,'A-1 Site Habitat Baseline'!$D$1:$O$258,6,FALSE)),"",(VLOOKUP($E12,'A-1 Site Habitat Baseline'!$D$1:$O$258,6,FALSE))))</f>
        <v>Medium</v>
      </c>
      <c r="I12" s="359">
        <f ca="1">IF(E12="","",IF(ISNA(VLOOKUP($E12,'A-1 Site Habitat Baseline'!$D$1:$O$258,7,FALSE)),"",(VLOOKUP($E12,'A-1 Site Habitat Baseline'!$D$1:$O$258,7,FALSE))))</f>
        <v>4</v>
      </c>
      <c r="J12" s="359" t="str">
        <f ca="1">IF(E12="","",IF(ISNA(VLOOKUP($E12,'A-1 Site Habitat Baseline'!$D$1:$O$258,8,FALSE)),"",(VLOOKUP($E12,'A-1 Site Habitat Baseline'!$D$1:$O$258,8,FALSE))))</f>
        <v>Poor</v>
      </c>
      <c r="K12" s="359">
        <f ca="1">IF(E12="","",IF(ISNA(VLOOKUP($E12,'A-1 Site Habitat Baseline'!$D$1:$O$258,9,FALSE)),"",(VLOOKUP($E12,'A-1 Site Habitat Baseline'!$D$1:$O$258,9,FALSE))))</f>
        <v>1</v>
      </c>
      <c r="L12" s="359" t="str">
        <f ca="1">IF(E12="","",IF(ISNA(VLOOKUP($E12,'A-1 Site Habitat Baseline'!$D$1:$O$258,11,FALSE)),"",(VLOOKUP($E12,'A-1 Site Habitat Baseline'!$D$1:$O$258,11,FALSE))))</f>
        <v>Low Strategic Significance</v>
      </c>
      <c r="M12" s="359">
        <f ca="1">IF(E12="","",IF(ISNA(VLOOKUP($E12,'A-1 Site Habitat Baseline'!$D$1:$O$258,12,FALSE)),"",(VLOOKUP($E12,'A-1 Site Habitat Baseline'!$D$1:$O$258,12,FALSE))))</f>
        <v>1</v>
      </c>
      <c r="N12" s="361">
        <f ca="1">IF(E12="","",IF(ISNA(VLOOKUP($E12,'A-1 Site Habitat Baseline'!$D$1:$X$258,14,FALSE)),"",(VLOOKUP($E12,'A-1 Site Habitat Baseline'!$D$1:$X$258,14,FALSE))))</f>
        <v>1.88</v>
      </c>
      <c r="O12" s="362" t="str">
        <f ca="1">IF(E12="","",IF(ISNA(VLOOKUP($E12,'A-1 Site Habitat Baseline'!$D$1:$X$258,16,FALSE)),"",(VLOOKUP($E12,'A-1 Site Habitat Baseline'!$D$1:$X$258,13,FALSE))))</f>
        <v>Same broad habitat or a higher distinctiveness habitat required</v>
      </c>
      <c r="P12" s="363" t="str">
        <f>IFERROR(INDEX('G-1 All Habitats'!$AG$3:$AG$15,MATCH(Q12,'G-1 All Habitats'!$AF$3:$AF$15,0)),"")</f>
        <v>Heathland_and_shrub</v>
      </c>
      <c r="Q12" s="364" t="s">
        <v>164</v>
      </c>
      <c r="R12" s="364" t="s">
        <v>38</v>
      </c>
      <c r="S12" s="655" t="str">
        <f>IFERROR(INDEX('G-1 All Habitats'!$B$3:$B$130,MATCH(R12,'G-1 All Habitats'!$A$3:$A$130,0)),"")</f>
        <v>Heathland and shrub - Mixed scrub</v>
      </c>
      <c r="T12" s="77" t="str">
        <f ca="1"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>Medium - Medium</v>
      </c>
      <c r="U12" s="78" t="str">
        <f ca="1"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>Poor - Moderate</v>
      </c>
      <c r="V12" s="367">
        <f>IF(S12="","",VLOOKUP(E12,BaselineHabSite,17,FALSE))</f>
        <v>0.47</v>
      </c>
      <c r="W12" s="359" t="str">
        <f>IF(S12="","",VLOOKUP(S12,'G-1 All Habitats'!$B$2:$M$130,10,FALSE))</f>
        <v>Medium</v>
      </c>
      <c r="X12" s="359">
        <f>IFERROR(VLOOKUP(W12,'G-1 All Habitats'!$V$3:$W$7,2,FALSE),"")</f>
        <v>4</v>
      </c>
      <c r="Y12" s="91" t="s">
        <v>1</v>
      </c>
      <c r="Z12" s="362">
        <f>IFERROR(INDEX('G-8 Condition Look up'!$A$3:$H$131,MATCH(S12,'G-8 Condition Look up'!$A$3:$A$131,0),MATCH(Y12,'G-8 Condition Look up'!$A$3:$H$3,0)),"")</f>
        <v>2</v>
      </c>
      <c r="AA12" s="79" t="s">
        <v>970</v>
      </c>
      <c r="AB12" s="359" t="str">
        <f>IF(AA12="","",IF(VLOOKUP(AA12,'G-3 Multipliers'!$L$3:$N$6,2,FALSE)=0,"Spatial Data Missing",VLOOKUP(AA12,'G-3 Multipliers'!$L$3:$N$6,2,FALSE)))</f>
        <v>Low Strategic Significance</v>
      </c>
      <c r="AC12" s="362">
        <f>IF(AA12="","",IF(VLOOKUP(AA12,'G-3 Multipliers'!$L$3:$N$6,3,FALSE)=0,"Spatial Data Missing",VLOOKUP(AA12,'G-3 Multipliers'!$L$3:$N$6,3,FALSE)))</f>
        <v>1</v>
      </c>
      <c r="AD12" s="652">
        <f t="shared" ref="AD12:AD75" ca="1" si="0">IFERROR(IF(OR(LEFT(U12,5)="Error",LEFT(T12,5)="Error"),"Check Data",INDEX(EnhanceTemporal,MATCH(S12,EnhanceHabitat,0),MATCH(U12,EnhanceCondition,0))),"")</f>
        <v>5</v>
      </c>
      <c r="AE12" s="94">
        <v>0</v>
      </c>
      <c r="AF12" s="94">
        <v>0</v>
      </c>
      <c r="AG12" s="365" t="str">
        <f ca="1"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>Standard time to target condition applied</v>
      </c>
      <c r="AH12" s="641">
        <f ca="1"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5</v>
      </c>
      <c r="AI12" s="370">
        <f ca="1">IF(AH12="Check Data","Check Data",IFERROR(VLOOKUP(AH12,'G-4 Temporal multipliers'!$A$4:$C$36,3,FALSE),""))</f>
        <v>0.83682870060000003</v>
      </c>
      <c r="AJ12" s="77" t="str">
        <f>IF(S12="","",VLOOKUP(S12,'G-3 Multipliers'!$A$2:$E$130,4,FALSE))</f>
        <v>Low</v>
      </c>
      <c r="AK12" s="365" t="str">
        <f ca="1">IF(E12="","",IF(AG12="Check details - Is there evidence that habitat has reached target condition?","Low Difficulty - only applicable if all habitat created before losses","Standard difficulty applied"))</f>
        <v>Standard difficulty applied</v>
      </c>
      <c r="AL12" s="365" t="str">
        <f ca="1">(IF(AND(AK12="Standard difficulty applied",AD12&gt;AE12),AJ12,IF(AND(AK12="Low Difficulty - only applicable if all habitat created before losses",AE12&gt;=AD12),"Low", AJ12)))</f>
        <v>Low</v>
      </c>
      <c r="AM12" s="366">
        <f ca="1">IFERROR(IF(F12="","",IF(AH12="Check Data","Check Data",VLOOKUP(AL12, 'G-3 Multipliers'!$P$2:$Q$6,2,FALSE))),””)</f>
        <v>1</v>
      </c>
      <c r="AN12" s="81">
        <f ca="1">IFERROR(((((V12*X12*Z12)-(V12*I12*K12))*(AM12*AI12))+(V12*I12*K12))*(AC12),"")</f>
        <v>3.4532379571279996</v>
      </c>
      <c r="AO12" s="372" t="s">
        <v>1531</v>
      </c>
      <c r="AP12" s="373"/>
    </row>
    <row r="13" spans="1:4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1">A13</f>
        <v/>
      </c>
      <c r="R13" s="364" t="str">
        <f t="shared" ref="R13:R76" si="2">IF(B13="","",B13)</f>
        <v/>
      </c>
      <c r="S13" s="655" t="str">
        <f>IFERROR(INDEX('G-1 All Habitats'!$B$3:$B$130,MATCH(R13,'G-1 All Habitats'!$A$3:$A$130,0)),"")</f>
        <v/>
      </c>
      <c r="T13" s="77" t="str">
        <f t="shared" ref="T13:T14" si="3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4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5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0"/>
        <v/>
      </c>
      <c r="AE13" s="94"/>
      <c r="AF13" s="94"/>
      <c r="AG13" s="359" t="str">
        <f t="shared" ref="AG13:AG76" si="6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7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8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9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0">IFERROR(((((V13*X13*Z13)-(V13*I13*K13))*(AM13*AI13))+(V13*I13*K13))*(AC13),"")</f>
        <v/>
      </c>
      <c r="AO13" s="372"/>
      <c r="AP13" s="373"/>
    </row>
    <row r="14" spans="1:4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1"/>
        <v/>
      </c>
      <c r="R14" s="364" t="str">
        <f t="shared" si="2"/>
        <v/>
      </c>
      <c r="S14" s="655" t="str">
        <f>IFERROR(INDEX('G-1 All Habitats'!$B$3:$B$130,MATCH(R14,'G-1 All Habitats'!$A$3:$A$130,0)),"")</f>
        <v/>
      </c>
      <c r="T14" s="77" t="str">
        <f t="shared" si="3"/>
        <v/>
      </c>
      <c r="U14" s="78" t="str">
        <f t="shared" si="4"/>
        <v/>
      </c>
      <c r="V14" s="367" t="str">
        <f t="shared" si="5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0"/>
        <v/>
      </c>
      <c r="AE14" s="94"/>
      <c r="AF14" s="94"/>
      <c r="AG14" s="359" t="str">
        <f t="shared" si="6"/>
        <v/>
      </c>
      <c r="AH14" s="641" t="str">
        <f t="shared" si="7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8"/>
        <v/>
      </c>
      <c r="AL14" s="365" t="str">
        <f t="shared" si="9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1"/>
        <v/>
      </c>
      <c r="R15" s="364" t="str">
        <f t="shared" si="2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4"/>
        <v/>
      </c>
      <c r="V15" s="367" t="str">
        <f t="shared" si="5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0"/>
        <v/>
      </c>
      <c r="AE15" s="94"/>
      <c r="AF15" s="94"/>
      <c r="AG15" s="359" t="str">
        <f t="shared" si="6"/>
        <v/>
      </c>
      <c r="AH15" s="641" t="str">
        <f t="shared" si="7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8"/>
        <v/>
      </c>
      <c r="AL15" s="365" t="str">
        <f t="shared" si="9"/>
        <v/>
      </c>
      <c r="AM15" s="657" t="str">
        <f>IFERROR(IF(F15="","",IF(AH15="Check Data","Check Data",VLOOKUP(AL15, 'G-3 Multipliers'!$P$2:$Q$6,2,FALSE))),””)</f>
        <v/>
      </c>
      <c r="AN15" s="81" t="str">
        <f t="shared" si="10"/>
        <v/>
      </c>
      <c r="AO15" s="372"/>
      <c r="AP15" s="373"/>
    </row>
    <row r="16" spans="1:4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1"/>
        <v/>
      </c>
      <c r="R16" s="364" t="str">
        <f t="shared" si="2"/>
        <v/>
      </c>
      <c r="S16" s="655" t="str">
        <f>IFERROR(INDEX('G-1 All Habitats'!$B$3:$B$130,MATCH(R16,'G-1 All Habitats'!$A$3:$A$130,0)),"")</f>
        <v/>
      </c>
      <c r="T16" s="77" t="str">
        <f t="shared" ref="T16:T79" si="11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4"/>
        <v/>
      </c>
      <c r="V16" s="367" t="str">
        <f t="shared" si="5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0"/>
        <v/>
      </c>
      <c r="AE16" s="94"/>
      <c r="AF16" s="94"/>
      <c r="AG16" s="359" t="str">
        <f t="shared" si="6"/>
        <v/>
      </c>
      <c r="AH16" s="641" t="str">
        <f t="shared" si="7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8"/>
        <v/>
      </c>
      <c r="AL16" s="365" t="str">
        <f t="shared" si="9"/>
        <v/>
      </c>
      <c r="AM16" s="657" t="str">
        <f>IFERROR(IF(F16="","",IF(AH16="Check Data","Check Data",VLOOKUP(AL16, 'G-3 Multipliers'!$P$2:$Q$6,2,FALSE))),””)</f>
        <v/>
      </c>
      <c r="AN16" s="81" t="str">
        <f t="shared" si="10"/>
        <v/>
      </c>
      <c r="AO16" s="372"/>
      <c r="AP16" s="373"/>
    </row>
    <row r="17" spans="1:4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1"/>
        <v/>
      </c>
      <c r="R17" s="364" t="str">
        <f t="shared" si="2"/>
        <v/>
      </c>
      <c r="S17" s="655" t="str">
        <f>IFERROR(INDEX('G-1 All Habitats'!$B$3:$B$130,MATCH(R17,'G-1 All Habitats'!$A$3:$A$130,0)),"")</f>
        <v/>
      </c>
      <c r="T17" s="77" t="str">
        <f t="shared" si="11"/>
        <v/>
      </c>
      <c r="U17" s="78" t="str">
        <f t="shared" si="4"/>
        <v/>
      </c>
      <c r="V17" s="367" t="str">
        <f t="shared" si="5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0"/>
        <v/>
      </c>
      <c r="AE17" s="94"/>
      <c r="AF17" s="94"/>
      <c r="AG17" s="359" t="str">
        <f t="shared" si="6"/>
        <v/>
      </c>
      <c r="AH17" s="641" t="str">
        <f t="shared" si="7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8"/>
        <v/>
      </c>
      <c r="AL17" s="365" t="str">
        <f t="shared" si="9"/>
        <v/>
      </c>
      <c r="AM17" s="657" t="str">
        <f>IFERROR(IF(F17="","",IF(AH17="Check Data","Check Data",VLOOKUP(AL17, 'G-3 Multipliers'!$P$2:$Q$6,2,FALSE))),””)</f>
        <v/>
      </c>
      <c r="AN17" s="81" t="str">
        <f t="shared" si="10"/>
        <v/>
      </c>
      <c r="AO17" s="372"/>
      <c r="AP17" s="373"/>
    </row>
    <row r="18" spans="1:4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1"/>
        <v/>
      </c>
      <c r="R18" s="364" t="str">
        <f t="shared" si="2"/>
        <v/>
      </c>
      <c r="S18" s="655" t="str">
        <f>IFERROR(INDEX('G-1 All Habitats'!$B$3:$B$130,MATCH(R18,'G-1 All Habitats'!$A$3:$A$130,0)),"")</f>
        <v/>
      </c>
      <c r="T18" s="77" t="str">
        <f t="shared" si="11"/>
        <v/>
      </c>
      <c r="U18" s="78" t="str">
        <f t="shared" si="4"/>
        <v/>
      </c>
      <c r="V18" s="367" t="str">
        <f t="shared" si="5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0"/>
        <v/>
      </c>
      <c r="AE18" s="94"/>
      <c r="AF18" s="94"/>
      <c r="AG18" s="359" t="str">
        <f t="shared" si="6"/>
        <v/>
      </c>
      <c r="AH18" s="641" t="str">
        <f t="shared" si="7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8"/>
        <v/>
      </c>
      <c r="AL18" s="365" t="str">
        <f t="shared" si="9"/>
        <v/>
      </c>
      <c r="AM18" s="657" t="str">
        <f>IFERROR(IF(F18="","",IF(AH18="Check Data","Check Data",VLOOKUP(AL18, 'G-3 Multipliers'!$P$2:$Q$6,2,FALSE))),””)</f>
        <v/>
      </c>
      <c r="AN18" s="81" t="str">
        <f t="shared" si="10"/>
        <v/>
      </c>
      <c r="AO18" s="372"/>
      <c r="AP18" s="373"/>
    </row>
    <row r="19" spans="1:4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1"/>
        <v/>
      </c>
      <c r="R19" s="364" t="str">
        <f t="shared" si="2"/>
        <v/>
      </c>
      <c r="S19" s="655" t="str">
        <f>IFERROR(INDEX('G-1 All Habitats'!$B$3:$B$130,MATCH(R19,'G-1 All Habitats'!$A$3:$A$130,0)),"")</f>
        <v/>
      </c>
      <c r="T19" s="77" t="str">
        <f t="shared" si="11"/>
        <v/>
      </c>
      <c r="U19" s="78" t="str">
        <f t="shared" si="4"/>
        <v/>
      </c>
      <c r="V19" s="367" t="str">
        <f t="shared" si="5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0"/>
        <v/>
      </c>
      <c r="AE19" s="94"/>
      <c r="AF19" s="94"/>
      <c r="AG19" s="359" t="str">
        <f t="shared" si="6"/>
        <v/>
      </c>
      <c r="AH19" s="641" t="str">
        <f t="shared" si="7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8"/>
        <v/>
      </c>
      <c r="AL19" s="365" t="str">
        <f t="shared" si="9"/>
        <v/>
      </c>
      <c r="AM19" s="657" t="str">
        <f>IFERROR(IF(F19="","",IF(AH19="Check Data","Check Data",VLOOKUP(AL19, 'G-3 Multipliers'!$P$2:$Q$6,2,FALSE))),””)</f>
        <v/>
      </c>
      <c r="AN19" s="81" t="str">
        <f t="shared" si="10"/>
        <v/>
      </c>
      <c r="AO19" s="372"/>
      <c r="AP19" s="373"/>
    </row>
    <row r="20" spans="1:4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1"/>
        <v/>
      </c>
      <c r="R20" s="364" t="str">
        <f t="shared" si="2"/>
        <v/>
      </c>
      <c r="S20" s="655" t="str">
        <f>IFERROR(INDEX('G-1 All Habitats'!$B$3:$B$130,MATCH(R20,'G-1 All Habitats'!$A$3:$A$130,0)),"")</f>
        <v/>
      </c>
      <c r="T20" s="77" t="str">
        <f t="shared" si="11"/>
        <v/>
      </c>
      <c r="U20" s="78" t="str">
        <f t="shared" si="4"/>
        <v/>
      </c>
      <c r="V20" s="367" t="str">
        <f t="shared" si="5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0"/>
        <v/>
      </c>
      <c r="AE20" s="94"/>
      <c r="AF20" s="94"/>
      <c r="AG20" s="359" t="str">
        <f t="shared" si="6"/>
        <v/>
      </c>
      <c r="AH20" s="641" t="str">
        <f t="shared" si="7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8"/>
        <v/>
      </c>
      <c r="AL20" s="365" t="str">
        <f t="shared" si="9"/>
        <v/>
      </c>
      <c r="AM20" s="657" t="str">
        <f>IFERROR(IF(F20="","",IF(AH20="Check Data","Check Data",VLOOKUP(AL20, 'G-3 Multipliers'!$P$2:$Q$6,2,FALSE))),””)</f>
        <v/>
      </c>
      <c r="AN20" s="81" t="str">
        <f t="shared" si="10"/>
        <v/>
      </c>
      <c r="AO20" s="372"/>
      <c r="AP20" s="373"/>
    </row>
    <row r="21" spans="1:4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1"/>
        <v/>
      </c>
      <c r="R21" s="364" t="str">
        <f t="shared" si="2"/>
        <v/>
      </c>
      <c r="S21" s="655" t="str">
        <f>IFERROR(INDEX('G-1 All Habitats'!$B$3:$B$130,MATCH(R21,'G-1 All Habitats'!$A$3:$A$130,0)),"")</f>
        <v/>
      </c>
      <c r="T21" s="77" t="str">
        <f t="shared" si="11"/>
        <v/>
      </c>
      <c r="U21" s="78" t="str">
        <f t="shared" si="4"/>
        <v/>
      </c>
      <c r="V21" s="367" t="str">
        <f t="shared" si="5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0"/>
        <v/>
      </c>
      <c r="AE21" s="94"/>
      <c r="AF21" s="94"/>
      <c r="AG21" s="359" t="str">
        <f t="shared" si="6"/>
        <v/>
      </c>
      <c r="AH21" s="641" t="str">
        <f t="shared" si="7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8"/>
        <v/>
      </c>
      <c r="AL21" s="365" t="str">
        <f t="shared" si="9"/>
        <v/>
      </c>
      <c r="AM21" s="657" t="str">
        <f>IFERROR(IF(F21="","",IF(AH21="Check Data","Check Data",VLOOKUP(AL21, 'G-3 Multipliers'!$P$2:$Q$6,2,FALSE))),””)</f>
        <v/>
      </c>
      <c r="AN21" s="81" t="str">
        <f t="shared" si="10"/>
        <v/>
      </c>
      <c r="AO21" s="372"/>
      <c r="AP21" s="373"/>
    </row>
    <row r="22" spans="1:4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1"/>
        <v/>
      </c>
      <c r="R22" s="364" t="str">
        <f t="shared" si="2"/>
        <v/>
      </c>
      <c r="S22" s="655" t="str">
        <f>IFERROR(INDEX('G-1 All Habitats'!$B$3:$B$130,MATCH(R22,'G-1 All Habitats'!$A$3:$A$130,0)),"")</f>
        <v/>
      </c>
      <c r="T22" s="77" t="str">
        <f t="shared" si="11"/>
        <v/>
      </c>
      <c r="U22" s="78" t="str">
        <f t="shared" si="4"/>
        <v/>
      </c>
      <c r="V22" s="367" t="str">
        <f t="shared" si="5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0"/>
        <v/>
      </c>
      <c r="AE22" s="94"/>
      <c r="AF22" s="94"/>
      <c r="AG22" s="359" t="str">
        <f t="shared" si="6"/>
        <v/>
      </c>
      <c r="AH22" s="641" t="str">
        <f t="shared" si="7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8"/>
        <v/>
      </c>
      <c r="AL22" s="365" t="str">
        <f t="shared" si="9"/>
        <v/>
      </c>
      <c r="AM22" s="657" t="str">
        <f>IFERROR(IF(F22="","",IF(AH22="Check Data","Check Data",VLOOKUP(AL22, 'G-3 Multipliers'!$P$2:$Q$6,2,FALSE))),””)</f>
        <v/>
      </c>
      <c r="AN22" s="81" t="str">
        <f t="shared" si="10"/>
        <v/>
      </c>
      <c r="AO22" s="372"/>
      <c r="AP22" s="373"/>
    </row>
    <row r="23" spans="1:4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1"/>
        <v/>
      </c>
      <c r="R23" s="364" t="str">
        <f t="shared" si="2"/>
        <v/>
      </c>
      <c r="S23" s="655" t="str">
        <f>IFERROR(INDEX('G-1 All Habitats'!$B$3:$B$130,MATCH(R23,'G-1 All Habitats'!$A$3:$A$130,0)),"")</f>
        <v/>
      </c>
      <c r="T23" s="77" t="str">
        <f t="shared" si="11"/>
        <v/>
      </c>
      <c r="U23" s="78" t="str">
        <f t="shared" si="4"/>
        <v/>
      </c>
      <c r="V23" s="367" t="str">
        <f t="shared" si="5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0"/>
        <v/>
      </c>
      <c r="AE23" s="94"/>
      <c r="AF23" s="94"/>
      <c r="AG23" s="359" t="str">
        <f t="shared" si="6"/>
        <v/>
      </c>
      <c r="AH23" s="641" t="str">
        <f t="shared" si="7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8"/>
        <v/>
      </c>
      <c r="AL23" s="365" t="str">
        <f t="shared" si="9"/>
        <v/>
      </c>
      <c r="AM23" s="657" t="str">
        <f>IFERROR(IF(F23="","",IF(AH23="Check Data","Check Data",VLOOKUP(AL23, 'G-3 Multipliers'!$P$2:$Q$6,2,FALSE))),””)</f>
        <v/>
      </c>
      <c r="AN23" s="81" t="str">
        <f t="shared" si="10"/>
        <v/>
      </c>
      <c r="AO23" s="372"/>
      <c r="AP23" s="373"/>
    </row>
    <row r="24" spans="1:4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1"/>
        <v/>
      </c>
      <c r="R24" s="364" t="str">
        <f t="shared" si="2"/>
        <v/>
      </c>
      <c r="S24" s="655" t="str">
        <f>IFERROR(INDEX('G-1 All Habitats'!$B$3:$B$130,MATCH(R24,'G-1 All Habitats'!$A$3:$A$130,0)),"")</f>
        <v/>
      </c>
      <c r="T24" s="77" t="str">
        <f t="shared" si="11"/>
        <v/>
      </c>
      <c r="U24" s="78" t="str">
        <f t="shared" si="4"/>
        <v/>
      </c>
      <c r="V24" s="367" t="str">
        <f t="shared" si="5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0"/>
        <v/>
      </c>
      <c r="AE24" s="94"/>
      <c r="AF24" s="94"/>
      <c r="AG24" s="359" t="str">
        <f t="shared" si="6"/>
        <v/>
      </c>
      <c r="AH24" s="641" t="str">
        <f t="shared" si="7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8"/>
        <v/>
      </c>
      <c r="AL24" s="365" t="str">
        <f t="shared" si="9"/>
        <v/>
      </c>
      <c r="AM24" s="657" t="str">
        <f>IFERROR(IF(F24="","",IF(AH24="Check Data","Check Data",VLOOKUP(AL24, 'G-3 Multipliers'!$P$2:$Q$6,2,FALSE))),””)</f>
        <v/>
      </c>
      <c r="AN24" s="81" t="str">
        <f t="shared" si="10"/>
        <v/>
      </c>
      <c r="AO24" s="372"/>
      <c r="AP24" s="373"/>
    </row>
    <row r="25" spans="1:4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1"/>
        <v/>
      </c>
      <c r="R25" s="364" t="str">
        <f t="shared" si="2"/>
        <v/>
      </c>
      <c r="S25" s="655" t="str">
        <f>IFERROR(INDEX('G-1 All Habitats'!$B$3:$B$130,MATCH(R25,'G-1 All Habitats'!$A$3:$A$130,0)),"")</f>
        <v/>
      </c>
      <c r="T25" s="77" t="str">
        <f t="shared" si="11"/>
        <v/>
      </c>
      <c r="U25" s="78" t="str">
        <f t="shared" si="4"/>
        <v/>
      </c>
      <c r="V25" s="367" t="str">
        <f t="shared" si="5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0"/>
        <v/>
      </c>
      <c r="AE25" s="94"/>
      <c r="AF25" s="94"/>
      <c r="AG25" s="359" t="str">
        <f t="shared" si="6"/>
        <v/>
      </c>
      <c r="AH25" s="641" t="str">
        <f t="shared" si="7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8"/>
        <v/>
      </c>
      <c r="AL25" s="365" t="str">
        <f t="shared" si="9"/>
        <v/>
      </c>
      <c r="AM25" s="657" t="str">
        <f>IFERROR(IF(F25="","",IF(AH25="Check Data","Check Data",VLOOKUP(AL25, 'G-3 Multipliers'!$P$2:$Q$6,2,FALSE))),””)</f>
        <v/>
      </c>
      <c r="AN25" s="81" t="str">
        <f t="shared" si="10"/>
        <v/>
      </c>
      <c r="AO25" s="372"/>
      <c r="AP25" s="373"/>
    </row>
    <row r="26" spans="1:4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1"/>
        <v/>
      </c>
      <c r="R26" s="364" t="str">
        <f t="shared" si="2"/>
        <v/>
      </c>
      <c r="S26" s="655" t="str">
        <f>IFERROR(INDEX('G-1 All Habitats'!$B$3:$B$130,MATCH(R26,'G-1 All Habitats'!$A$3:$A$130,0)),"")</f>
        <v/>
      </c>
      <c r="T26" s="77" t="str">
        <f t="shared" si="11"/>
        <v/>
      </c>
      <c r="U26" s="78" t="str">
        <f t="shared" si="4"/>
        <v/>
      </c>
      <c r="V26" s="367" t="str">
        <f t="shared" si="5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0"/>
        <v/>
      </c>
      <c r="AE26" s="94"/>
      <c r="AF26" s="94"/>
      <c r="AG26" s="359" t="str">
        <f t="shared" si="6"/>
        <v/>
      </c>
      <c r="AH26" s="641" t="str">
        <f t="shared" si="7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8"/>
        <v/>
      </c>
      <c r="AL26" s="365" t="str">
        <f t="shared" si="9"/>
        <v/>
      </c>
      <c r="AM26" s="657" t="str">
        <f>IFERROR(IF(F26="","",IF(AH26="Check Data","Check Data",VLOOKUP(AL26, 'G-3 Multipliers'!$P$2:$Q$6,2,FALSE))),””)</f>
        <v/>
      </c>
      <c r="AN26" s="81" t="str">
        <f t="shared" si="10"/>
        <v/>
      </c>
      <c r="AO26" s="372"/>
      <c r="AP26" s="373"/>
    </row>
    <row r="27" spans="1:4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1"/>
        <v/>
      </c>
      <c r="R27" s="364" t="str">
        <f t="shared" si="2"/>
        <v/>
      </c>
      <c r="S27" s="655" t="str">
        <f>IFERROR(INDEX('G-1 All Habitats'!$B$3:$B$130,MATCH(R27,'G-1 All Habitats'!$A$3:$A$130,0)),"")</f>
        <v/>
      </c>
      <c r="T27" s="77" t="str">
        <f t="shared" si="11"/>
        <v/>
      </c>
      <c r="U27" s="78" t="str">
        <f t="shared" si="4"/>
        <v/>
      </c>
      <c r="V27" s="367" t="str">
        <f t="shared" si="5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0"/>
        <v/>
      </c>
      <c r="AE27" s="94"/>
      <c r="AF27" s="94"/>
      <c r="AG27" s="359" t="str">
        <f t="shared" si="6"/>
        <v/>
      </c>
      <c r="AH27" s="641" t="str">
        <f t="shared" si="7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8"/>
        <v/>
      </c>
      <c r="AL27" s="365" t="str">
        <f t="shared" si="9"/>
        <v/>
      </c>
      <c r="AM27" s="657" t="str">
        <f>IFERROR(IF(F27="","",IF(AH27="Check Data","Check Data",VLOOKUP(AL27, 'G-3 Multipliers'!$P$2:$Q$6,2,FALSE))),””)</f>
        <v/>
      </c>
      <c r="AN27" s="81" t="str">
        <f t="shared" si="10"/>
        <v/>
      </c>
      <c r="AO27" s="372"/>
      <c r="AP27" s="373"/>
    </row>
    <row r="28" spans="1:4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1"/>
        <v/>
      </c>
      <c r="R28" s="364" t="str">
        <f t="shared" si="2"/>
        <v/>
      </c>
      <c r="S28" s="655" t="str">
        <f>IFERROR(INDEX('G-1 All Habitats'!$B$3:$B$130,MATCH(R28,'G-1 All Habitats'!$A$3:$A$130,0)),"")</f>
        <v/>
      </c>
      <c r="T28" s="77" t="str">
        <f t="shared" si="11"/>
        <v/>
      </c>
      <c r="U28" s="78" t="str">
        <f t="shared" si="4"/>
        <v/>
      </c>
      <c r="V28" s="367" t="str">
        <f t="shared" si="5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0"/>
        <v/>
      </c>
      <c r="AE28" s="94"/>
      <c r="AF28" s="94"/>
      <c r="AG28" s="359" t="str">
        <f t="shared" si="6"/>
        <v/>
      </c>
      <c r="AH28" s="641" t="str">
        <f t="shared" si="7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8"/>
        <v/>
      </c>
      <c r="AL28" s="365" t="str">
        <f t="shared" si="9"/>
        <v/>
      </c>
      <c r="AM28" s="657" t="str">
        <f>IFERROR(IF(F28="","",IF(AH28="Check Data","Check Data",VLOOKUP(AL28, 'G-3 Multipliers'!$P$2:$Q$6,2,FALSE))),””)</f>
        <v/>
      </c>
      <c r="AN28" s="81" t="str">
        <f t="shared" si="10"/>
        <v/>
      </c>
      <c r="AO28" s="372"/>
      <c r="AP28" s="373"/>
    </row>
    <row r="29" spans="1:4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1"/>
        <v/>
      </c>
      <c r="R29" s="364" t="str">
        <f t="shared" si="2"/>
        <v/>
      </c>
      <c r="S29" s="655" t="str">
        <f>IFERROR(INDEX('G-1 All Habitats'!$B$3:$B$130,MATCH(R29,'G-1 All Habitats'!$A$3:$A$130,0)),"")</f>
        <v/>
      </c>
      <c r="T29" s="77" t="str">
        <f t="shared" si="11"/>
        <v/>
      </c>
      <c r="U29" s="78" t="str">
        <f t="shared" si="4"/>
        <v/>
      </c>
      <c r="V29" s="367" t="str">
        <f t="shared" si="5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0"/>
        <v/>
      </c>
      <c r="AE29" s="94"/>
      <c r="AF29" s="94"/>
      <c r="AG29" s="359" t="str">
        <f t="shared" si="6"/>
        <v/>
      </c>
      <c r="AH29" s="641" t="str">
        <f t="shared" si="7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8"/>
        <v/>
      </c>
      <c r="AL29" s="365" t="str">
        <f t="shared" si="9"/>
        <v/>
      </c>
      <c r="AM29" s="657" t="str">
        <f>IFERROR(IF(F29="","",IF(AH29="Check Data","Check Data",VLOOKUP(AL29, 'G-3 Multipliers'!$P$2:$Q$6,2,FALSE))),””)</f>
        <v/>
      </c>
      <c r="AN29" s="81" t="str">
        <f t="shared" si="10"/>
        <v/>
      </c>
      <c r="AO29" s="372"/>
      <c r="AP29" s="373"/>
    </row>
    <row r="30" spans="1:4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1"/>
        <v/>
      </c>
      <c r="R30" s="364" t="str">
        <f t="shared" si="2"/>
        <v/>
      </c>
      <c r="S30" s="655" t="str">
        <f>IFERROR(INDEX('G-1 All Habitats'!$B$3:$B$130,MATCH(R30,'G-1 All Habitats'!$A$3:$A$130,0)),"")</f>
        <v/>
      </c>
      <c r="T30" s="77" t="str">
        <f t="shared" si="11"/>
        <v/>
      </c>
      <c r="U30" s="78" t="str">
        <f t="shared" si="4"/>
        <v/>
      </c>
      <c r="V30" s="367" t="str">
        <f t="shared" si="5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0"/>
        <v/>
      </c>
      <c r="AE30" s="94"/>
      <c r="AF30" s="94"/>
      <c r="AG30" s="359" t="str">
        <f t="shared" si="6"/>
        <v/>
      </c>
      <c r="AH30" s="641" t="str">
        <f t="shared" si="7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8"/>
        <v/>
      </c>
      <c r="AL30" s="365" t="str">
        <f t="shared" si="9"/>
        <v/>
      </c>
      <c r="AM30" s="657" t="str">
        <f>IFERROR(IF(F30="","",IF(AH30="Check Data","Check Data",VLOOKUP(AL30, 'G-3 Multipliers'!$P$2:$Q$6,2,FALSE))),””)</f>
        <v/>
      </c>
      <c r="AN30" s="81" t="str">
        <f t="shared" si="10"/>
        <v/>
      </c>
      <c r="AO30" s="372"/>
      <c r="AP30" s="373"/>
    </row>
    <row r="31" spans="1:4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1"/>
        <v/>
      </c>
      <c r="R31" s="364" t="str">
        <f t="shared" si="2"/>
        <v/>
      </c>
      <c r="S31" s="655" t="str">
        <f>IFERROR(INDEX('G-1 All Habitats'!$B$3:$B$130,MATCH(R31,'G-1 All Habitats'!$A$3:$A$130,0)),"")</f>
        <v/>
      </c>
      <c r="T31" s="77" t="str">
        <f t="shared" si="11"/>
        <v/>
      </c>
      <c r="U31" s="78" t="str">
        <f t="shared" si="4"/>
        <v/>
      </c>
      <c r="V31" s="367" t="str">
        <f t="shared" si="5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0"/>
        <v/>
      </c>
      <c r="AE31" s="94"/>
      <c r="AF31" s="94"/>
      <c r="AG31" s="359" t="str">
        <f t="shared" si="6"/>
        <v/>
      </c>
      <c r="AH31" s="641" t="str">
        <f t="shared" si="7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8"/>
        <v/>
      </c>
      <c r="AL31" s="365" t="str">
        <f t="shared" si="9"/>
        <v/>
      </c>
      <c r="AM31" s="657" t="str">
        <f>IFERROR(IF(F31="","",IF(AH31="Check Data","Check Data",VLOOKUP(AL31, 'G-3 Multipliers'!$P$2:$Q$6,2,FALSE))),””)</f>
        <v/>
      </c>
      <c r="AN31" s="81" t="str">
        <f t="shared" si="10"/>
        <v/>
      </c>
      <c r="AO31" s="372"/>
      <c r="AP31" s="373"/>
    </row>
    <row r="32" spans="1:4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1"/>
        <v/>
      </c>
      <c r="R32" s="364" t="str">
        <f t="shared" si="2"/>
        <v/>
      </c>
      <c r="S32" s="655" t="str">
        <f>IFERROR(INDEX('G-1 All Habitats'!$B$3:$B$130,MATCH(R32,'G-1 All Habitats'!$A$3:$A$130,0)),"")</f>
        <v/>
      </c>
      <c r="T32" s="77" t="str">
        <f t="shared" si="11"/>
        <v/>
      </c>
      <c r="U32" s="78" t="str">
        <f t="shared" si="4"/>
        <v/>
      </c>
      <c r="V32" s="367" t="str">
        <f t="shared" si="5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0"/>
        <v/>
      </c>
      <c r="AE32" s="94"/>
      <c r="AF32" s="94"/>
      <c r="AG32" s="359" t="str">
        <f t="shared" si="6"/>
        <v/>
      </c>
      <c r="AH32" s="641" t="str">
        <f t="shared" si="7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8"/>
        <v/>
      </c>
      <c r="AL32" s="365" t="str">
        <f t="shared" si="9"/>
        <v/>
      </c>
      <c r="AM32" s="657" t="str">
        <f>IFERROR(IF(F32="","",IF(AH32="Check Data","Check Data",VLOOKUP(AL32, 'G-3 Multipliers'!$P$2:$Q$6,2,FALSE))),””)</f>
        <v/>
      </c>
      <c r="AN32" s="81" t="str">
        <f t="shared" si="10"/>
        <v/>
      </c>
      <c r="AO32" s="372"/>
      <c r="AP32" s="373"/>
    </row>
    <row r="33" spans="1:4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1"/>
        <v/>
      </c>
      <c r="R33" s="364" t="str">
        <f t="shared" si="2"/>
        <v/>
      </c>
      <c r="S33" s="655" t="str">
        <f>IFERROR(INDEX('G-1 All Habitats'!$B$3:$B$130,MATCH(R33,'G-1 All Habitats'!$A$3:$A$130,0)),"")</f>
        <v/>
      </c>
      <c r="T33" s="77" t="str">
        <f t="shared" si="11"/>
        <v/>
      </c>
      <c r="U33" s="78" t="str">
        <f t="shared" si="4"/>
        <v/>
      </c>
      <c r="V33" s="367" t="str">
        <f t="shared" si="5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0"/>
        <v/>
      </c>
      <c r="AE33" s="94"/>
      <c r="AF33" s="94"/>
      <c r="AG33" s="359" t="str">
        <f t="shared" si="6"/>
        <v/>
      </c>
      <c r="AH33" s="641" t="str">
        <f t="shared" si="7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8"/>
        <v/>
      </c>
      <c r="AL33" s="365" t="str">
        <f t="shared" si="9"/>
        <v/>
      </c>
      <c r="AM33" s="657" t="str">
        <f>IFERROR(IF(F33="","",IF(AH33="Check Data","Check Data",VLOOKUP(AL33, 'G-3 Multipliers'!$P$2:$Q$6,2,FALSE))),””)</f>
        <v/>
      </c>
      <c r="AN33" s="81" t="str">
        <f t="shared" si="10"/>
        <v/>
      </c>
      <c r="AO33" s="372"/>
      <c r="AP33" s="373"/>
    </row>
    <row r="34" spans="1:4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1"/>
        <v/>
      </c>
      <c r="R34" s="364" t="str">
        <f t="shared" si="2"/>
        <v/>
      </c>
      <c r="S34" s="655" t="str">
        <f>IFERROR(INDEX('G-1 All Habitats'!$B$3:$B$130,MATCH(R34,'G-1 All Habitats'!$A$3:$A$130,0)),"")</f>
        <v/>
      </c>
      <c r="T34" s="77" t="str">
        <f t="shared" si="11"/>
        <v/>
      </c>
      <c r="U34" s="78" t="str">
        <f t="shared" si="4"/>
        <v/>
      </c>
      <c r="V34" s="367" t="str">
        <f t="shared" si="5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0"/>
        <v/>
      </c>
      <c r="AE34" s="94"/>
      <c r="AF34" s="94"/>
      <c r="AG34" s="359" t="str">
        <f t="shared" si="6"/>
        <v/>
      </c>
      <c r="AH34" s="641" t="str">
        <f t="shared" si="7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8"/>
        <v/>
      </c>
      <c r="AL34" s="365" t="str">
        <f t="shared" si="9"/>
        <v/>
      </c>
      <c r="AM34" s="657" t="str">
        <f>IFERROR(IF(F34="","",IF(AH34="Check Data","Check Data",VLOOKUP(AL34, 'G-3 Multipliers'!$P$2:$Q$6,2,FALSE))),””)</f>
        <v/>
      </c>
      <c r="AN34" s="81" t="str">
        <f t="shared" si="10"/>
        <v/>
      </c>
      <c r="AO34" s="372"/>
      <c r="AP34" s="373"/>
    </row>
    <row r="35" spans="1:4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1"/>
        <v/>
      </c>
      <c r="R35" s="364" t="str">
        <f t="shared" si="2"/>
        <v/>
      </c>
      <c r="S35" s="655" t="str">
        <f>IFERROR(INDEX('G-1 All Habitats'!$B$3:$B$130,MATCH(R35,'G-1 All Habitats'!$A$3:$A$130,0)),"")</f>
        <v/>
      </c>
      <c r="T35" s="77" t="str">
        <f t="shared" si="11"/>
        <v/>
      </c>
      <c r="U35" s="78" t="str">
        <f t="shared" si="4"/>
        <v/>
      </c>
      <c r="V35" s="367" t="str">
        <f t="shared" si="5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0"/>
        <v/>
      </c>
      <c r="AE35" s="94"/>
      <c r="AF35" s="94"/>
      <c r="AG35" s="359" t="str">
        <f t="shared" si="6"/>
        <v/>
      </c>
      <c r="AH35" s="641" t="str">
        <f t="shared" si="7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8"/>
        <v/>
      </c>
      <c r="AL35" s="365" t="str">
        <f t="shared" si="9"/>
        <v/>
      </c>
      <c r="AM35" s="657" t="str">
        <f>IFERROR(IF(F35="","",IF(AH35="Check Data","Check Data",VLOOKUP(AL35, 'G-3 Multipliers'!$P$2:$Q$6,2,FALSE))),””)</f>
        <v/>
      </c>
      <c r="AN35" s="81" t="str">
        <f t="shared" si="10"/>
        <v/>
      </c>
      <c r="AO35" s="372"/>
      <c r="AP35" s="373"/>
    </row>
    <row r="36" spans="1:4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1"/>
        <v/>
      </c>
      <c r="R36" s="364" t="str">
        <f t="shared" si="2"/>
        <v/>
      </c>
      <c r="S36" s="655" t="str">
        <f>IFERROR(INDEX('G-1 All Habitats'!$B$3:$B$130,MATCH(R36,'G-1 All Habitats'!$A$3:$A$130,0)),"")</f>
        <v/>
      </c>
      <c r="T36" s="77" t="str">
        <f t="shared" si="11"/>
        <v/>
      </c>
      <c r="U36" s="78" t="str">
        <f t="shared" si="4"/>
        <v/>
      </c>
      <c r="V36" s="367" t="str">
        <f t="shared" si="5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0"/>
        <v/>
      </c>
      <c r="AE36" s="94"/>
      <c r="AF36" s="94"/>
      <c r="AG36" s="359" t="str">
        <f t="shared" si="6"/>
        <v/>
      </c>
      <c r="AH36" s="641" t="str">
        <f t="shared" si="7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8"/>
        <v/>
      </c>
      <c r="AL36" s="365" t="str">
        <f t="shared" si="9"/>
        <v/>
      </c>
      <c r="AM36" s="657" t="str">
        <f>IFERROR(IF(F36="","",IF(AH36="Check Data","Check Data",VLOOKUP(AL36, 'G-3 Multipliers'!$P$2:$Q$6,2,FALSE))),””)</f>
        <v/>
      </c>
      <c r="AN36" s="81" t="str">
        <f t="shared" si="10"/>
        <v/>
      </c>
      <c r="AO36" s="372"/>
      <c r="AP36" s="373"/>
    </row>
    <row r="37" spans="1:4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1"/>
        <v/>
      </c>
      <c r="R37" s="364" t="str">
        <f t="shared" si="2"/>
        <v/>
      </c>
      <c r="S37" s="655" t="str">
        <f>IFERROR(INDEX('G-1 All Habitats'!$B$3:$B$130,MATCH(R37,'G-1 All Habitats'!$A$3:$A$130,0)),"")</f>
        <v/>
      </c>
      <c r="T37" s="77" t="str">
        <f t="shared" si="11"/>
        <v/>
      </c>
      <c r="U37" s="78" t="str">
        <f t="shared" si="4"/>
        <v/>
      </c>
      <c r="V37" s="367" t="str">
        <f t="shared" si="5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0"/>
        <v/>
      </c>
      <c r="AE37" s="94"/>
      <c r="AF37" s="94"/>
      <c r="AG37" s="359" t="str">
        <f t="shared" si="6"/>
        <v/>
      </c>
      <c r="AH37" s="641" t="str">
        <f t="shared" si="7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8"/>
        <v/>
      </c>
      <c r="AL37" s="365" t="str">
        <f t="shared" si="9"/>
        <v/>
      </c>
      <c r="AM37" s="657" t="str">
        <f>IFERROR(IF(F37="","",IF(AH37="Check Data","Check Data",VLOOKUP(AL37, 'G-3 Multipliers'!$P$2:$Q$6,2,FALSE))),””)</f>
        <v/>
      </c>
      <c r="AN37" s="81" t="str">
        <f t="shared" si="10"/>
        <v/>
      </c>
      <c r="AO37" s="372"/>
      <c r="AP37" s="373"/>
    </row>
    <row r="38" spans="1:4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1"/>
        <v/>
      </c>
      <c r="R38" s="364" t="str">
        <f t="shared" si="2"/>
        <v/>
      </c>
      <c r="S38" s="655" t="str">
        <f>IFERROR(INDEX('G-1 All Habitats'!$B$3:$B$130,MATCH(R38,'G-1 All Habitats'!$A$3:$A$130,0)),"")</f>
        <v/>
      </c>
      <c r="T38" s="77" t="str">
        <f t="shared" si="11"/>
        <v/>
      </c>
      <c r="U38" s="78" t="str">
        <f t="shared" si="4"/>
        <v/>
      </c>
      <c r="V38" s="367" t="str">
        <f t="shared" si="5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0"/>
        <v/>
      </c>
      <c r="AE38" s="94"/>
      <c r="AF38" s="94"/>
      <c r="AG38" s="359" t="str">
        <f t="shared" si="6"/>
        <v/>
      </c>
      <c r="AH38" s="641" t="str">
        <f t="shared" si="7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8"/>
        <v/>
      </c>
      <c r="AL38" s="365" t="str">
        <f t="shared" si="9"/>
        <v/>
      </c>
      <c r="AM38" s="657" t="str">
        <f>IFERROR(IF(F38="","",IF(AH38="Check Data","Check Data",VLOOKUP(AL38, 'G-3 Multipliers'!$P$2:$Q$6,2,FALSE))),””)</f>
        <v/>
      </c>
      <c r="AN38" s="81" t="str">
        <f t="shared" si="10"/>
        <v/>
      </c>
      <c r="AO38" s="372"/>
      <c r="AP38" s="373"/>
    </row>
    <row r="39" spans="1:4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1"/>
        <v/>
      </c>
      <c r="R39" s="364" t="str">
        <f t="shared" si="2"/>
        <v/>
      </c>
      <c r="S39" s="655" t="str">
        <f>IFERROR(INDEX('G-1 All Habitats'!$B$3:$B$130,MATCH(R39,'G-1 All Habitats'!$A$3:$A$130,0)),"")</f>
        <v/>
      </c>
      <c r="T39" s="77" t="str">
        <f t="shared" si="11"/>
        <v/>
      </c>
      <c r="U39" s="78" t="str">
        <f t="shared" si="4"/>
        <v/>
      </c>
      <c r="V39" s="367" t="str">
        <f t="shared" si="5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0"/>
        <v/>
      </c>
      <c r="AE39" s="94"/>
      <c r="AF39" s="94"/>
      <c r="AG39" s="359" t="str">
        <f t="shared" si="6"/>
        <v/>
      </c>
      <c r="AH39" s="641" t="str">
        <f t="shared" si="7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8"/>
        <v/>
      </c>
      <c r="AL39" s="365" t="str">
        <f t="shared" si="9"/>
        <v/>
      </c>
      <c r="AM39" s="657" t="str">
        <f>IFERROR(IF(F39="","",IF(AH39="Check Data","Check Data",VLOOKUP(AL39, 'G-3 Multipliers'!$P$2:$Q$6,2,FALSE))),””)</f>
        <v/>
      </c>
      <c r="AN39" s="81" t="str">
        <f t="shared" si="10"/>
        <v/>
      </c>
      <c r="AO39" s="372"/>
      <c r="AP39" s="373"/>
    </row>
    <row r="40" spans="1:4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1"/>
        <v/>
      </c>
      <c r="R40" s="364" t="str">
        <f t="shared" si="2"/>
        <v/>
      </c>
      <c r="S40" s="655" t="str">
        <f>IFERROR(INDEX('G-1 All Habitats'!$B$3:$B$130,MATCH(R40,'G-1 All Habitats'!$A$3:$A$130,0)),"")</f>
        <v/>
      </c>
      <c r="T40" s="77" t="str">
        <f t="shared" si="11"/>
        <v/>
      </c>
      <c r="U40" s="78" t="str">
        <f t="shared" si="4"/>
        <v/>
      </c>
      <c r="V40" s="367" t="str">
        <f t="shared" si="5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0"/>
        <v/>
      </c>
      <c r="AE40" s="94"/>
      <c r="AF40" s="94"/>
      <c r="AG40" s="359" t="str">
        <f t="shared" si="6"/>
        <v/>
      </c>
      <c r="AH40" s="641" t="str">
        <f t="shared" si="7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8"/>
        <v/>
      </c>
      <c r="AL40" s="365" t="str">
        <f t="shared" si="9"/>
        <v/>
      </c>
      <c r="AM40" s="657" t="str">
        <f>IFERROR(IF(F40="","",IF(AH40="Check Data","Check Data",VLOOKUP(AL40, 'G-3 Multipliers'!$P$2:$Q$6,2,FALSE))),””)</f>
        <v/>
      </c>
      <c r="AN40" s="81" t="str">
        <f t="shared" si="10"/>
        <v/>
      </c>
      <c r="AO40" s="372"/>
      <c r="AP40" s="373"/>
    </row>
    <row r="41" spans="1:4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1"/>
        <v/>
      </c>
      <c r="R41" s="364" t="str">
        <f t="shared" si="2"/>
        <v/>
      </c>
      <c r="S41" s="655" t="str">
        <f>IFERROR(INDEX('G-1 All Habitats'!$B$3:$B$130,MATCH(R41,'G-1 All Habitats'!$A$3:$A$130,0)),"")</f>
        <v/>
      </c>
      <c r="T41" s="77" t="str">
        <f t="shared" si="11"/>
        <v/>
      </c>
      <c r="U41" s="78" t="str">
        <f t="shared" si="4"/>
        <v/>
      </c>
      <c r="V41" s="367" t="str">
        <f t="shared" si="5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0"/>
        <v/>
      </c>
      <c r="AE41" s="94"/>
      <c r="AF41" s="94"/>
      <c r="AG41" s="359" t="str">
        <f t="shared" si="6"/>
        <v/>
      </c>
      <c r="AH41" s="641" t="str">
        <f t="shared" si="7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8"/>
        <v/>
      </c>
      <c r="AL41" s="365" t="str">
        <f t="shared" si="9"/>
        <v/>
      </c>
      <c r="AM41" s="657" t="str">
        <f>IFERROR(IF(F41="","",IF(AH41="Check Data","Check Data",VLOOKUP(AL41, 'G-3 Multipliers'!$P$2:$Q$6,2,FALSE))),””)</f>
        <v/>
      </c>
      <c r="AN41" s="81" t="str">
        <f t="shared" si="10"/>
        <v/>
      </c>
      <c r="AO41" s="372"/>
      <c r="AP41" s="373"/>
    </row>
    <row r="42" spans="1:4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1"/>
        <v/>
      </c>
      <c r="R42" s="364" t="str">
        <f t="shared" si="2"/>
        <v/>
      </c>
      <c r="S42" s="655" t="str">
        <f>IFERROR(INDEX('G-1 All Habitats'!$B$3:$B$130,MATCH(R42,'G-1 All Habitats'!$A$3:$A$130,0)),"")</f>
        <v/>
      </c>
      <c r="T42" s="77" t="str">
        <f t="shared" si="11"/>
        <v/>
      </c>
      <c r="U42" s="78" t="str">
        <f t="shared" si="4"/>
        <v/>
      </c>
      <c r="V42" s="367" t="str">
        <f t="shared" si="5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0"/>
        <v/>
      </c>
      <c r="AE42" s="94"/>
      <c r="AF42" s="94"/>
      <c r="AG42" s="359" t="str">
        <f t="shared" si="6"/>
        <v/>
      </c>
      <c r="AH42" s="641" t="str">
        <f t="shared" si="7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8"/>
        <v/>
      </c>
      <c r="AL42" s="365" t="str">
        <f t="shared" si="9"/>
        <v/>
      </c>
      <c r="AM42" s="657" t="str">
        <f>IFERROR(IF(F42="","",IF(AH42="Check Data","Check Data",VLOOKUP(AL42, 'G-3 Multipliers'!$P$2:$Q$6,2,FALSE))),””)</f>
        <v/>
      </c>
      <c r="AN42" s="81" t="str">
        <f t="shared" si="10"/>
        <v/>
      </c>
      <c r="AO42" s="372"/>
      <c r="AP42" s="373"/>
    </row>
    <row r="43" spans="1:4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1"/>
        <v/>
      </c>
      <c r="R43" s="364" t="str">
        <f t="shared" si="2"/>
        <v/>
      </c>
      <c r="S43" s="655" t="str">
        <f>IFERROR(INDEX('G-1 All Habitats'!$B$3:$B$130,MATCH(R43,'G-1 All Habitats'!$A$3:$A$130,0)),"")</f>
        <v/>
      </c>
      <c r="T43" s="77" t="str">
        <f t="shared" si="11"/>
        <v/>
      </c>
      <c r="U43" s="78" t="str">
        <f t="shared" si="4"/>
        <v/>
      </c>
      <c r="V43" s="367" t="str">
        <f t="shared" si="5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0"/>
        <v/>
      </c>
      <c r="AE43" s="94"/>
      <c r="AF43" s="94"/>
      <c r="AG43" s="359" t="str">
        <f t="shared" si="6"/>
        <v/>
      </c>
      <c r="AH43" s="641" t="str">
        <f t="shared" si="7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8"/>
        <v/>
      </c>
      <c r="AL43" s="365" t="str">
        <f t="shared" si="9"/>
        <v/>
      </c>
      <c r="AM43" s="657" t="str">
        <f>IFERROR(IF(F43="","",IF(AH43="Check Data","Check Data",VLOOKUP(AL43, 'G-3 Multipliers'!$P$2:$Q$6,2,FALSE))),””)</f>
        <v/>
      </c>
      <c r="AN43" s="81" t="str">
        <f t="shared" si="10"/>
        <v/>
      </c>
      <c r="AO43" s="372"/>
      <c r="AP43" s="373"/>
    </row>
    <row r="44" spans="1:4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1"/>
        <v/>
      </c>
      <c r="R44" s="364" t="str">
        <f t="shared" si="2"/>
        <v/>
      </c>
      <c r="S44" s="655" t="str">
        <f>IFERROR(INDEX('G-1 All Habitats'!$B$3:$B$130,MATCH(R44,'G-1 All Habitats'!$A$3:$A$130,0)),"")</f>
        <v/>
      </c>
      <c r="T44" s="77" t="str">
        <f t="shared" si="11"/>
        <v/>
      </c>
      <c r="U44" s="78" t="str">
        <f t="shared" si="4"/>
        <v/>
      </c>
      <c r="V44" s="367" t="str">
        <f t="shared" si="5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0"/>
        <v/>
      </c>
      <c r="AE44" s="94"/>
      <c r="AF44" s="94"/>
      <c r="AG44" s="359" t="str">
        <f t="shared" si="6"/>
        <v/>
      </c>
      <c r="AH44" s="641" t="str">
        <f t="shared" si="7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8"/>
        <v/>
      </c>
      <c r="AL44" s="365" t="str">
        <f t="shared" si="9"/>
        <v/>
      </c>
      <c r="AM44" s="657" t="str">
        <f>IFERROR(IF(F44="","",IF(AH44="Check Data","Check Data",VLOOKUP(AL44, 'G-3 Multipliers'!$P$2:$Q$6,2,FALSE))),””)</f>
        <v/>
      </c>
      <c r="AN44" s="81" t="str">
        <f t="shared" si="10"/>
        <v/>
      </c>
      <c r="AO44" s="372"/>
      <c r="AP44" s="373"/>
    </row>
    <row r="45" spans="1:4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1"/>
        <v/>
      </c>
      <c r="R45" s="364" t="str">
        <f t="shared" si="2"/>
        <v/>
      </c>
      <c r="S45" s="655" t="str">
        <f>IFERROR(INDEX('G-1 All Habitats'!$B$3:$B$130,MATCH(R45,'G-1 All Habitats'!$A$3:$A$130,0)),"")</f>
        <v/>
      </c>
      <c r="T45" s="77" t="str">
        <f t="shared" si="11"/>
        <v/>
      </c>
      <c r="U45" s="78" t="str">
        <f t="shared" si="4"/>
        <v/>
      </c>
      <c r="V45" s="367" t="str">
        <f t="shared" si="5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0"/>
        <v/>
      </c>
      <c r="AE45" s="94"/>
      <c r="AF45" s="94"/>
      <c r="AG45" s="359" t="str">
        <f t="shared" si="6"/>
        <v/>
      </c>
      <c r="AH45" s="641" t="str">
        <f t="shared" si="7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8"/>
        <v/>
      </c>
      <c r="AL45" s="365" t="str">
        <f t="shared" si="9"/>
        <v/>
      </c>
      <c r="AM45" s="657" t="str">
        <f>IFERROR(IF(F45="","",IF(AH45="Check Data","Check Data",VLOOKUP(AL45, 'G-3 Multipliers'!$P$2:$Q$6,2,FALSE))),””)</f>
        <v/>
      </c>
      <c r="AN45" s="81" t="str">
        <f t="shared" si="10"/>
        <v/>
      </c>
      <c r="AO45" s="372"/>
      <c r="AP45" s="373"/>
    </row>
    <row r="46" spans="1:4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1"/>
        <v/>
      </c>
      <c r="R46" s="364" t="str">
        <f t="shared" si="2"/>
        <v/>
      </c>
      <c r="S46" s="655" t="str">
        <f>IFERROR(INDEX('G-1 All Habitats'!$B$3:$B$130,MATCH(R46,'G-1 All Habitats'!$A$3:$A$130,0)),"")</f>
        <v/>
      </c>
      <c r="T46" s="77" t="str">
        <f t="shared" si="11"/>
        <v/>
      </c>
      <c r="U46" s="78" t="str">
        <f t="shared" si="4"/>
        <v/>
      </c>
      <c r="V46" s="367" t="str">
        <f t="shared" si="5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0"/>
        <v/>
      </c>
      <c r="AE46" s="94"/>
      <c r="AF46" s="94"/>
      <c r="AG46" s="359" t="str">
        <f t="shared" si="6"/>
        <v/>
      </c>
      <c r="AH46" s="641" t="str">
        <f t="shared" si="7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8"/>
        <v/>
      </c>
      <c r="AL46" s="365" t="str">
        <f t="shared" si="9"/>
        <v/>
      </c>
      <c r="AM46" s="657" t="str">
        <f>IFERROR(IF(F46="","",IF(AH46="Check Data","Check Data",VLOOKUP(AL46, 'G-3 Multipliers'!$P$2:$Q$6,2,FALSE))),””)</f>
        <v/>
      </c>
      <c r="AN46" s="81" t="str">
        <f t="shared" si="10"/>
        <v/>
      </c>
      <c r="AO46" s="372"/>
      <c r="AP46" s="373"/>
    </row>
    <row r="47" spans="1:4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1"/>
        <v/>
      </c>
      <c r="R47" s="364" t="str">
        <f t="shared" si="2"/>
        <v/>
      </c>
      <c r="S47" s="655" t="str">
        <f>IFERROR(INDEX('G-1 All Habitats'!$B$3:$B$130,MATCH(R47,'G-1 All Habitats'!$A$3:$A$130,0)),"")</f>
        <v/>
      </c>
      <c r="T47" s="77" t="str">
        <f t="shared" si="11"/>
        <v/>
      </c>
      <c r="U47" s="78" t="str">
        <f t="shared" si="4"/>
        <v/>
      </c>
      <c r="V47" s="367" t="str">
        <f t="shared" si="5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0"/>
        <v/>
      </c>
      <c r="AE47" s="94"/>
      <c r="AF47" s="94"/>
      <c r="AG47" s="359" t="str">
        <f t="shared" si="6"/>
        <v/>
      </c>
      <c r="AH47" s="641" t="str">
        <f t="shared" si="7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8"/>
        <v/>
      </c>
      <c r="AL47" s="365" t="str">
        <f t="shared" si="9"/>
        <v/>
      </c>
      <c r="AM47" s="657" t="str">
        <f>IFERROR(IF(F47="","",IF(AH47="Check Data","Check Data",VLOOKUP(AL47, 'G-3 Multipliers'!$P$2:$Q$6,2,FALSE))),””)</f>
        <v/>
      </c>
      <c r="AN47" s="81" t="str">
        <f t="shared" si="10"/>
        <v/>
      </c>
      <c r="AO47" s="372"/>
      <c r="AP47" s="373"/>
    </row>
    <row r="48" spans="1:4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1"/>
        <v/>
      </c>
      <c r="R48" s="364" t="str">
        <f t="shared" si="2"/>
        <v/>
      </c>
      <c r="S48" s="655" t="str">
        <f>IFERROR(INDEX('G-1 All Habitats'!$B$3:$B$130,MATCH(R48,'G-1 All Habitats'!$A$3:$A$130,0)),"")</f>
        <v/>
      </c>
      <c r="T48" s="77" t="str">
        <f t="shared" si="11"/>
        <v/>
      </c>
      <c r="U48" s="78" t="str">
        <f t="shared" si="4"/>
        <v/>
      </c>
      <c r="V48" s="367" t="str">
        <f t="shared" si="5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0"/>
        <v/>
      </c>
      <c r="AE48" s="94"/>
      <c r="AF48" s="94"/>
      <c r="AG48" s="359" t="str">
        <f t="shared" si="6"/>
        <v/>
      </c>
      <c r="AH48" s="641" t="str">
        <f t="shared" si="7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8"/>
        <v/>
      </c>
      <c r="AL48" s="365" t="str">
        <f t="shared" si="9"/>
        <v/>
      </c>
      <c r="AM48" s="657" t="str">
        <f>IFERROR(IF(F48="","",IF(AH48="Check Data","Check Data",VLOOKUP(AL48, 'G-3 Multipliers'!$P$2:$Q$6,2,FALSE))),””)</f>
        <v/>
      </c>
      <c r="AN48" s="81" t="str">
        <f t="shared" si="10"/>
        <v/>
      </c>
      <c r="AO48" s="372"/>
      <c r="AP48" s="373"/>
    </row>
    <row r="49" spans="1:4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1"/>
        <v/>
      </c>
      <c r="R49" s="364" t="str">
        <f t="shared" si="2"/>
        <v/>
      </c>
      <c r="S49" s="655" t="str">
        <f>IFERROR(INDEX('G-1 All Habitats'!$B$3:$B$130,MATCH(R49,'G-1 All Habitats'!$A$3:$A$130,0)),"")</f>
        <v/>
      </c>
      <c r="T49" s="77" t="str">
        <f t="shared" si="11"/>
        <v/>
      </c>
      <c r="U49" s="78" t="str">
        <f t="shared" si="4"/>
        <v/>
      </c>
      <c r="V49" s="367" t="str">
        <f t="shared" si="5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0"/>
        <v/>
      </c>
      <c r="AE49" s="94"/>
      <c r="AF49" s="94"/>
      <c r="AG49" s="359" t="str">
        <f t="shared" si="6"/>
        <v/>
      </c>
      <c r="AH49" s="641" t="str">
        <f t="shared" si="7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8"/>
        <v/>
      </c>
      <c r="AL49" s="365" t="str">
        <f t="shared" si="9"/>
        <v/>
      </c>
      <c r="AM49" s="657" t="str">
        <f>IFERROR(IF(F49="","",IF(AH49="Check Data","Check Data",VLOOKUP(AL49, 'G-3 Multipliers'!$P$2:$Q$6,2,FALSE))),””)</f>
        <v/>
      </c>
      <c r="AN49" s="81" t="str">
        <f t="shared" si="10"/>
        <v/>
      </c>
      <c r="AO49" s="372"/>
      <c r="AP49" s="373"/>
    </row>
    <row r="50" spans="1:4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1"/>
        <v/>
      </c>
      <c r="R50" s="364" t="str">
        <f t="shared" si="2"/>
        <v/>
      </c>
      <c r="S50" s="655" t="str">
        <f>IFERROR(INDEX('G-1 All Habitats'!$B$3:$B$130,MATCH(R50,'G-1 All Habitats'!$A$3:$A$130,0)),"")</f>
        <v/>
      </c>
      <c r="T50" s="77" t="str">
        <f t="shared" si="11"/>
        <v/>
      </c>
      <c r="U50" s="78" t="str">
        <f t="shared" si="4"/>
        <v/>
      </c>
      <c r="V50" s="367" t="str">
        <f t="shared" si="5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0"/>
        <v/>
      </c>
      <c r="AE50" s="94"/>
      <c r="AF50" s="94"/>
      <c r="AG50" s="359" t="str">
        <f t="shared" si="6"/>
        <v/>
      </c>
      <c r="AH50" s="641" t="str">
        <f t="shared" si="7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8"/>
        <v/>
      </c>
      <c r="AL50" s="365" t="str">
        <f t="shared" si="9"/>
        <v/>
      </c>
      <c r="AM50" s="657" t="str">
        <f>IFERROR(IF(F50="","",IF(AH50="Check Data","Check Data",VLOOKUP(AL50, 'G-3 Multipliers'!$P$2:$Q$6,2,FALSE))),””)</f>
        <v/>
      </c>
      <c r="AN50" s="81" t="str">
        <f t="shared" si="10"/>
        <v/>
      </c>
      <c r="AO50" s="372"/>
      <c r="AP50" s="373"/>
    </row>
    <row r="51" spans="1:4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1"/>
        <v/>
      </c>
      <c r="R51" s="364" t="str">
        <f t="shared" si="2"/>
        <v/>
      </c>
      <c r="S51" s="655" t="str">
        <f>IFERROR(INDEX('G-1 All Habitats'!$B$3:$B$130,MATCH(R51,'G-1 All Habitats'!$A$3:$A$130,0)),"")</f>
        <v/>
      </c>
      <c r="T51" s="77" t="str">
        <f t="shared" si="11"/>
        <v/>
      </c>
      <c r="U51" s="78" t="str">
        <f t="shared" si="4"/>
        <v/>
      </c>
      <c r="V51" s="367" t="str">
        <f t="shared" si="5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0"/>
        <v/>
      </c>
      <c r="AE51" s="94"/>
      <c r="AF51" s="94"/>
      <c r="AG51" s="359" t="str">
        <f t="shared" si="6"/>
        <v/>
      </c>
      <c r="AH51" s="641" t="str">
        <f t="shared" si="7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8"/>
        <v/>
      </c>
      <c r="AL51" s="365" t="str">
        <f t="shared" si="9"/>
        <v/>
      </c>
      <c r="AM51" s="657" t="str">
        <f>IFERROR(IF(F51="","",IF(AH51="Check Data","Check Data",VLOOKUP(AL51, 'G-3 Multipliers'!$P$2:$Q$6,2,FALSE))),””)</f>
        <v/>
      </c>
      <c r="AN51" s="81" t="str">
        <f t="shared" si="10"/>
        <v/>
      </c>
      <c r="AO51" s="372"/>
      <c r="AP51" s="373"/>
    </row>
    <row r="52" spans="1:4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1"/>
        <v/>
      </c>
      <c r="R52" s="364" t="str">
        <f t="shared" si="2"/>
        <v/>
      </c>
      <c r="S52" s="655" t="str">
        <f>IFERROR(INDEX('G-1 All Habitats'!$B$3:$B$130,MATCH(R52,'G-1 All Habitats'!$A$3:$A$130,0)),"")</f>
        <v/>
      </c>
      <c r="T52" s="77" t="str">
        <f t="shared" si="11"/>
        <v/>
      </c>
      <c r="U52" s="78" t="str">
        <f t="shared" si="4"/>
        <v/>
      </c>
      <c r="V52" s="367" t="str">
        <f t="shared" si="5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0"/>
        <v/>
      </c>
      <c r="AE52" s="94"/>
      <c r="AF52" s="94"/>
      <c r="AG52" s="359" t="str">
        <f t="shared" si="6"/>
        <v/>
      </c>
      <c r="AH52" s="641" t="str">
        <f t="shared" si="7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8"/>
        <v/>
      </c>
      <c r="AL52" s="365" t="str">
        <f t="shared" si="9"/>
        <v/>
      </c>
      <c r="AM52" s="657" t="str">
        <f>IFERROR(IF(F52="","",IF(AH52="Check Data","Check Data",VLOOKUP(AL52, 'G-3 Multipliers'!$P$2:$Q$6,2,FALSE))),””)</f>
        <v/>
      </c>
      <c r="AN52" s="81" t="str">
        <f t="shared" si="10"/>
        <v/>
      </c>
      <c r="AO52" s="372"/>
      <c r="AP52" s="373"/>
    </row>
    <row r="53" spans="1:4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1"/>
        <v/>
      </c>
      <c r="R53" s="364" t="str">
        <f t="shared" si="2"/>
        <v/>
      </c>
      <c r="S53" s="655" t="str">
        <f>IFERROR(INDEX('G-1 All Habitats'!$B$3:$B$130,MATCH(R53,'G-1 All Habitats'!$A$3:$A$130,0)),"")</f>
        <v/>
      </c>
      <c r="T53" s="77" t="str">
        <f t="shared" si="11"/>
        <v/>
      </c>
      <c r="U53" s="78" t="str">
        <f t="shared" si="4"/>
        <v/>
      </c>
      <c r="V53" s="367" t="str">
        <f t="shared" si="5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0"/>
        <v/>
      </c>
      <c r="AE53" s="94"/>
      <c r="AF53" s="94"/>
      <c r="AG53" s="359" t="str">
        <f t="shared" si="6"/>
        <v/>
      </c>
      <c r="AH53" s="641" t="str">
        <f t="shared" si="7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8"/>
        <v/>
      </c>
      <c r="AL53" s="365" t="str">
        <f t="shared" si="9"/>
        <v/>
      </c>
      <c r="AM53" s="657" t="str">
        <f>IFERROR(IF(F53="","",IF(AH53="Check Data","Check Data",VLOOKUP(AL53, 'G-3 Multipliers'!$P$2:$Q$6,2,FALSE))),””)</f>
        <v/>
      </c>
      <c r="AN53" s="81" t="str">
        <f t="shared" si="10"/>
        <v/>
      </c>
      <c r="AO53" s="372"/>
      <c r="AP53" s="373"/>
    </row>
    <row r="54" spans="1:4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1"/>
        <v/>
      </c>
      <c r="R54" s="364" t="str">
        <f t="shared" si="2"/>
        <v/>
      </c>
      <c r="S54" s="655" t="str">
        <f>IFERROR(INDEX('G-1 All Habitats'!$B$3:$B$130,MATCH(R54,'G-1 All Habitats'!$A$3:$A$130,0)),"")</f>
        <v/>
      </c>
      <c r="T54" s="77" t="str">
        <f t="shared" si="11"/>
        <v/>
      </c>
      <c r="U54" s="78" t="str">
        <f t="shared" si="4"/>
        <v/>
      </c>
      <c r="V54" s="367" t="str">
        <f t="shared" si="5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0"/>
        <v/>
      </c>
      <c r="AE54" s="94"/>
      <c r="AF54" s="94"/>
      <c r="AG54" s="359" t="str">
        <f t="shared" si="6"/>
        <v/>
      </c>
      <c r="AH54" s="641" t="str">
        <f t="shared" si="7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8"/>
        <v/>
      </c>
      <c r="AL54" s="365" t="str">
        <f t="shared" si="9"/>
        <v/>
      </c>
      <c r="AM54" s="657" t="str">
        <f>IFERROR(IF(F54="","",IF(AH54="Check Data","Check Data",VLOOKUP(AL54, 'G-3 Multipliers'!$P$2:$Q$6,2,FALSE))),””)</f>
        <v/>
      </c>
      <c r="AN54" s="81" t="str">
        <f t="shared" si="10"/>
        <v/>
      </c>
      <c r="AO54" s="372"/>
      <c r="AP54" s="373"/>
    </row>
    <row r="55" spans="1:4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1"/>
        <v/>
      </c>
      <c r="R55" s="364" t="str">
        <f t="shared" si="2"/>
        <v/>
      </c>
      <c r="S55" s="655" t="str">
        <f>IFERROR(INDEX('G-1 All Habitats'!$B$3:$B$130,MATCH(R55,'G-1 All Habitats'!$A$3:$A$130,0)),"")</f>
        <v/>
      </c>
      <c r="T55" s="77" t="str">
        <f t="shared" si="11"/>
        <v/>
      </c>
      <c r="U55" s="78" t="str">
        <f t="shared" si="4"/>
        <v/>
      </c>
      <c r="V55" s="367" t="str">
        <f t="shared" si="5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0"/>
        <v/>
      </c>
      <c r="AE55" s="94"/>
      <c r="AF55" s="94"/>
      <c r="AG55" s="359" t="str">
        <f t="shared" si="6"/>
        <v/>
      </c>
      <c r="AH55" s="641" t="str">
        <f t="shared" si="7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8"/>
        <v/>
      </c>
      <c r="AL55" s="365" t="str">
        <f t="shared" si="9"/>
        <v/>
      </c>
      <c r="AM55" s="657" t="str">
        <f>IFERROR(IF(F55="","",IF(AH55="Check Data","Check Data",VLOOKUP(AL55, 'G-3 Multipliers'!$P$2:$Q$6,2,FALSE))),””)</f>
        <v/>
      </c>
      <c r="AN55" s="81" t="str">
        <f t="shared" si="10"/>
        <v/>
      </c>
      <c r="AO55" s="372"/>
      <c r="AP55" s="373"/>
    </row>
    <row r="56" spans="1:4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1"/>
        <v/>
      </c>
      <c r="R56" s="364" t="str">
        <f t="shared" si="2"/>
        <v/>
      </c>
      <c r="S56" s="655" t="str">
        <f>IFERROR(INDEX('G-1 All Habitats'!$B$3:$B$130,MATCH(R56,'G-1 All Habitats'!$A$3:$A$130,0)),"")</f>
        <v/>
      </c>
      <c r="T56" s="77" t="str">
        <f t="shared" si="11"/>
        <v/>
      </c>
      <c r="U56" s="78" t="str">
        <f t="shared" si="4"/>
        <v/>
      </c>
      <c r="V56" s="367" t="str">
        <f t="shared" si="5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0"/>
        <v/>
      </c>
      <c r="AE56" s="94"/>
      <c r="AF56" s="94"/>
      <c r="AG56" s="359" t="str">
        <f t="shared" si="6"/>
        <v/>
      </c>
      <c r="AH56" s="641" t="str">
        <f t="shared" si="7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8"/>
        <v/>
      </c>
      <c r="AL56" s="365" t="str">
        <f t="shared" si="9"/>
        <v/>
      </c>
      <c r="AM56" s="657" t="str">
        <f>IFERROR(IF(F56="","",IF(AH56="Check Data","Check Data",VLOOKUP(AL56, 'G-3 Multipliers'!$P$2:$Q$6,2,FALSE))),””)</f>
        <v/>
      </c>
      <c r="AN56" s="81" t="str">
        <f t="shared" si="10"/>
        <v/>
      </c>
      <c r="AO56" s="372"/>
      <c r="AP56" s="373"/>
    </row>
    <row r="57" spans="1:4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1"/>
        <v/>
      </c>
      <c r="R57" s="364" t="str">
        <f t="shared" si="2"/>
        <v/>
      </c>
      <c r="S57" s="655" t="str">
        <f>IFERROR(INDEX('G-1 All Habitats'!$B$3:$B$130,MATCH(R57,'G-1 All Habitats'!$A$3:$A$130,0)),"")</f>
        <v/>
      </c>
      <c r="T57" s="77" t="str">
        <f t="shared" si="11"/>
        <v/>
      </c>
      <c r="U57" s="78" t="str">
        <f t="shared" si="4"/>
        <v/>
      </c>
      <c r="V57" s="367" t="str">
        <f t="shared" si="5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0"/>
        <v/>
      </c>
      <c r="AE57" s="94"/>
      <c r="AF57" s="94"/>
      <c r="AG57" s="359" t="str">
        <f t="shared" si="6"/>
        <v/>
      </c>
      <c r="AH57" s="641" t="str">
        <f t="shared" si="7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8"/>
        <v/>
      </c>
      <c r="AL57" s="365" t="str">
        <f t="shared" si="9"/>
        <v/>
      </c>
      <c r="AM57" s="657" t="str">
        <f>IFERROR(IF(F57="","",IF(AH57="Check Data","Check Data",VLOOKUP(AL57, 'G-3 Multipliers'!$P$2:$Q$6,2,FALSE))),””)</f>
        <v/>
      </c>
      <c r="AN57" s="81" t="str">
        <f t="shared" si="10"/>
        <v/>
      </c>
      <c r="AO57" s="372"/>
      <c r="AP57" s="373"/>
    </row>
    <row r="58" spans="1:4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1"/>
        <v/>
      </c>
      <c r="R58" s="364" t="str">
        <f t="shared" si="2"/>
        <v/>
      </c>
      <c r="S58" s="655" t="str">
        <f>IFERROR(INDEX('G-1 All Habitats'!$B$3:$B$130,MATCH(R58,'G-1 All Habitats'!$A$3:$A$130,0)),"")</f>
        <v/>
      </c>
      <c r="T58" s="77" t="str">
        <f t="shared" si="11"/>
        <v/>
      </c>
      <c r="U58" s="78" t="str">
        <f t="shared" si="4"/>
        <v/>
      </c>
      <c r="V58" s="367" t="str">
        <f t="shared" si="5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0"/>
        <v/>
      </c>
      <c r="AE58" s="94"/>
      <c r="AF58" s="94"/>
      <c r="AG58" s="359" t="str">
        <f t="shared" si="6"/>
        <v/>
      </c>
      <c r="AH58" s="641" t="str">
        <f t="shared" si="7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8"/>
        <v/>
      </c>
      <c r="AL58" s="365" t="str">
        <f t="shared" si="9"/>
        <v/>
      </c>
      <c r="AM58" s="657" t="str">
        <f>IFERROR(IF(F58="","",IF(AH58="Check Data","Check Data",VLOOKUP(AL58, 'G-3 Multipliers'!$P$2:$Q$6,2,FALSE))),””)</f>
        <v/>
      </c>
      <c r="AN58" s="81" t="str">
        <f t="shared" si="10"/>
        <v/>
      </c>
      <c r="AO58" s="372"/>
      <c r="AP58" s="373"/>
    </row>
    <row r="59" spans="1:4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1"/>
        <v/>
      </c>
      <c r="R59" s="364" t="str">
        <f t="shared" si="2"/>
        <v/>
      </c>
      <c r="S59" s="655" t="str">
        <f>IFERROR(INDEX('G-1 All Habitats'!$B$3:$B$130,MATCH(R59,'G-1 All Habitats'!$A$3:$A$130,0)),"")</f>
        <v/>
      </c>
      <c r="T59" s="77" t="str">
        <f t="shared" si="11"/>
        <v/>
      </c>
      <c r="U59" s="78" t="str">
        <f t="shared" si="4"/>
        <v/>
      </c>
      <c r="V59" s="367" t="str">
        <f t="shared" si="5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0"/>
        <v/>
      </c>
      <c r="AE59" s="94"/>
      <c r="AF59" s="94"/>
      <c r="AG59" s="359" t="str">
        <f t="shared" si="6"/>
        <v/>
      </c>
      <c r="AH59" s="641" t="str">
        <f t="shared" si="7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8"/>
        <v/>
      </c>
      <c r="AL59" s="365" t="str">
        <f t="shared" si="9"/>
        <v/>
      </c>
      <c r="AM59" s="657" t="str">
        <f>IFERROR(IF(F59="","",IF(AH59="Check Data","Check Data",VLOOKUP(AL59, 'G-3 Multipliers'!$P$2:$Q$6,2,FALSE))),””)</f>
        <v/>
      </c>
      <c r="AN59" s="81" t="str">
        <f t="shared" si="10"/>
        <v/>
      </c>
      <c r="AO59" s="372"/>
      <c r="AP59" s="373"/>
    </row>
    <row r="60" spans="1:4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1"/>
        <v/>
      </c>
      <c r="R60" s="364" t="str">
        <f t="shared" si="2"/>
        <v/>
      </c>
      <c r="S60" s="655" t="str">
        <f>IFERROR(INDEX('G-1 All Habitats'!$B$3:$B$130,MATCH(R60,'G-1 All Habitats'!$A$3:$A$130,0)),"")</f>
        <v/>
      </c>
      <c r="T60" s="77" t="str">
        <f t="shared" si="11"/>
        <v/>
      </c>
      <c r="U60" s="78" t="str">
        <f t="shared" si="4"/>
        <v/>
      </c>
      <c r="V60" s="367" t="str">
        <f t="shared" si="5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0"/>
        <v/>
      </c>
      <c r="AE60" s="94"/>
      <c r="AF60" s="94"/>
      <c r="AG60" s="359" t="str">
        <f t="shared" si="6"/>
        <v/>
      </c>
      <c r="AH60" s="641" t="str">
        <f t="shared" si="7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8"/>
        <v/>
      </c>
      <c r="AL60" s="365" t="str">
        <f t="shared" si="9"/>
        <v/>
      </c>
      <c r="AM60" s="657" t="str">
        <f>IFERROR(IF(F60="","",IF(AH60="Check Data","Check Data",VLOOKUP(AL60, 'G-3 Multipliers'!$P$2:$Q$6,2,FALSE))),””)</f>
        <v/>
      </c>
      <c r="AN60" s="81" t="str">
        <f t="shared" si="10"/>
        <v/>
      </c>
      <c r="AO60" s="372"/>
      <c r="AP60" s="373"/>
    </row>
    <row r="61" spans="1:4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1"/>
        <v/>
      </c>
      <c r="R61" s="364" t="str">
        <f t="shared" si="2"/>
        <v/>
      </c>
      <c r="S61" s="655" t="str">
        <f>IFERROR(INDEX('G-1 All Habitats'!$B$3:$B$130,MATCH(R61,'G-1 All Habitats'!$A$3:$A$130,0)),"")</f>
        <v/>
      </c>
      <c r="T61" s="77" t="str">
        <f t="shared" si="11"/>
        <v/>
      </c>
      <c r="U61" s="78" t="str">
        <f t="shared" si="4"/>
        <v/>
      </c>
      <c r="V61" s="367" t="str">
        <f t="shared" si="5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0"/>
        <v/>
      </c>
      <c r="AE61" s="94"/>
      <c r="AF61" s="94"/>
      <c r="AG61" s="359" t="str">
        <f t="shared" si="6"/>
        <v/>
      </c>
      <c r="AH61" s="641" t="str">
        <f t="shared" si="7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8"/>
        <v/>
      </c>
      <c r="AL61" s="365" t="str">
        <f t="shared" si="9"/>
        <v/>
      </c>
      <c r="AM61" s="657" t="str">
        <f>IFERROR(IF(F61="","",IF(AH61="Check Data","Check Data",VLOOKUP(AL61, 'G-3 Multipliers'!$P$2:$Q$6,2,FALSE))),””)</f>
        <v/>
      </c>
      <c r="AN61" s="81" t="str">
        <f t="shared" si="10"/>
        <v/>
      </c>
      <c r="AO61" s="372"/>
      <c r="AP61" s="373"/>
    </row>
    <row r="62" spans="1:4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1"/>
        <v/>
      </c>
      <c r="R62" s="364" t="str">
        <f t="shared" si="2"/>
        <v/>
      </c>
      <c r="S62" s="655" t="str">
        <f>IFERROR(INDEX('G-1 All Habitats'!$B$3:$B$130,MATCH(R62,'G-1 All Habitats'!$A$3:$A$130,0)),"")</f>
        <v/>
      </c>
      <c r="T62" s="77" t="str">
        <f t="shared" si="11"/>
        <v/>
      </c>
      <c r="U62" s="78" t="str">
        <f t="shared" si="4"/>
        <v/>
      </c>
      <c r="V62" s="367" t="str">
        <f t="shared" si="5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0"/>
        <v/>
      </c>
      <c r="AE62" s="94"/>
      <c r="AF62" s="94"/>
      <c r="AG62" s="359" t="str">
        <f t="shared" si="6"/>
        <v/>
      </c>
      <c r="AH62" s="641" t="str">
        <f t="shared" si="7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8"/>
        <v/>
      </c>
      <c r="AL62" s="365" t="str">
        <f t="shared" si="9"/>
        <v/>
      </c>
      <c r="AM62" s="657" t="str">
        <f>IFERROR(IF(F62="","",IF(AH62="Check Data","Check Data",VLOOKUP(AL62, 'G-3 Multipliers'!$P$2:$Q$6,2,FALSE))),””)</f>
        <v/>
      </c>
      <c r="AN62" s="81" t="str">
        <f t="shared" si="10"/>
        <v/>
      </c>
      <c r="AO62" s="372"/>
      <c r="AP62" s="373"/>
    </row>
    <row r="63" spans="1:4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1"/>
        <v/>
      </c>
      <c r="R63" s="364" t="str">
        <f t="shared" si="2"/>
        <v/>
      </c>
      <c r="S63" s="655" t="str">
        <f>IFERROR(INDEX('G-1 All Habitats'!$B$3:$B$130,MATCH(R63,'G-1 All Habitats'!$A$3:$A$130,0)),"")</f>
        <v/>
      </c>
      <c r="T63" s="77" t="str">
        <f t="shared" si="11"/>
        <v/>
      </c>
      <c r="U63" s="78" t="str">
        <f t="shared" si="4"/>
        <v/>
      </c>
      <c r="V63" s="367" t="str">
        <f t="shared" si="5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0"/>
        <v/>
      </c>
      <c r="AE63" s="94"/>
      <c r="AF63" s="94"/>
      <c r="AG63" s="359" t="str">
        <f t="shared" si="6"/>
        <v/>
      </c>
      <c r="AH63" s="641" t="str">
        <f t="shared" si="7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8"/>
        <v/>
      </c>
      <c r="AL63" s="365" t="str">
        <f t="shared" si="9"/>
        <v/>
      </c>
      <c r="AM63" s="657" t="str">
        <f>IFERROR(IF(F63="","",IF(AH63="Check Data","Check Data",VLOOKUP(AL63, 'G-3 Multipliers'!$P$2:$Q$6,2,FALSE))),””)</f>
        <v/>
      </c>
      <c r="AN63" s="81" t="str">
        <f t="shared" si="10"/>
        <v/>
      </c>
      <c r="AO63" s="372"/>
      <c r="AP63" s="373"/>
    </row>
    <row r="64" spans="1:4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1"/>
        <v/>
      </c>
      <c r="R64" s="364" t="str">
        <f t="shared" si="2"/>
        <v/>
      </c>
      <c r="S64" s="655" t="str">
        <f>IFERROR(INDEX('G-1 All Habitats'!$B$3:$B$130,MATCH(R64,'G-1 All Habitats'!$A$3:$A$130,0)),"")</f>
        <v/>
      </c>
      <c r="T64" s="77" t="str">
        <f t="shared" si="11"/>
        <v/>
      </c>
      <c r="U64" s="78" t="str">
        <f t="shared" si="4"/>
        <v/>
      </c>
      <c r="V64" s="367" t="str">
        <f t="shared" si="5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0"/>
        <v/>
      </c>
      <c r="AE64" s="94"/>
      <c r="AF64" s="94"/>
      <c r="AG64" s="359" t="str">
        <f t="shared" si="6"/>
        <v/>
      </c>
      <c r="AH64" s="641" t="str">
        <f t="shared" si="7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8"/>
        <v/>
      </c>
      <c r="AL64" s="365" t="str">
        <f t="shared" si="9"/>
        <v/>
      </c>
      <c r="AM64" s="657" t="str">
        <f>IFERROR(IF(F64="","",IF(AH64="Check Data","Check Data",VLOOKUP(AL64, 'G-3 Multipliers'!$P$2:$Q$6,2,FALSE))),””)</f>
        <v/>
      </c>
      <c r="AN64" s="81" t="str">
        <f t="shared" si="10"/>
        <v/>
      </c>
      <c r="AO64" s="372"/>
      <c r="AP64" s="373"/>
    </row>
    <row r="65" spans="1:4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1"/>
        <v/>
      </c>
      <c r="R65" s="364" t="str">
        <f t="shared" si="2"/>
        <v/>
      </c>
      <c r="S65" s="655" t="str">
        <f>IFERROR(INDEX('G-1 All Habitats'!$B$3:$B$130,MATCH(R65,'G-1 All Habitats'!$A$3:$A$130,0)),"")</f>
        <v/>
      </c>
      <c r="T65" s="77" t="str">
        <f t="shared" si="11"/>
        <v/>
      </c>
      <c r="U65" s="78" t="str">
        <f t="shared" si="4"/>
        <v/>
      </c>
      <c r="V65" s="367" t="str">
        <f t="shared" si="5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0"/>
        <v/>
      </c>
      <c r="AE65" s="94"/>
      <c r="AF65" s="94"/>
      <c r="AG65" s="359" t="str">
        <f t="shared" si="6"/>
        <v/>
      </c>
      <c r="AH65" s="641" t="str">
        <f t="shared" si="7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8"/>
        <v/>
      </c>
      <c r="AL65" s="365" t="str">
        <f t="shared" si="9"/>
        <v/>
      </c>
      <c r="AM65" s="657" t="str">
        <f>IFERROR(IF(F65="","",IF(AH65="Check Data","Check Data",VLOOKUP(AL65, 'G-3 Multipliers'!$P$2:$Q$6,2,FALSE))),””)</f>
        <v/>
      </c>
      <c r="AN65" s="81" t="str">
        <f t="shared" si="10"/>
        <v/>
      </c>
      <c r="AO65" s="372"/>
      <c r="AP65" s="373"/>
    </row>
    <row r="66" spans="1:4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1"/>
        <v/>
      </c>
      <c r="R66" s="364" t="str">
        <f t="shared" si="2"/>
        <v/>
      </c>
      <c r="S66" s="655" t="str">
        <f>IFERROR(INDEX('G-1 All Habitats'!$B$3:$B$130,MATCH(R66,'G-1 All Habitats'!$A$3:$A$130,0)),"")</f>
        <v/>
      </c>
      <c r="T66" s="77" t="str">
        <f t="shared" si="11"/>
        <v/>
      </c>
      <c r="U66" s="78" t="str">
        <f t="shared" si="4"/>
        <v/>
      </c>
      <c r="V66" s="367" t="str">
        <f t="shared" si="5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0"/>
        <v/>
      </c>
      <c r="AE66" s="94"/>
      <c r="AF66" s="94"/>
      <c r="AG66" s="359" t="str">
        <f t="shared" si="6"/>
        <v/>
      </c>
      <c r="AH66" s="641" t="str">
        <f t="shared" si="7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8"/>
        <v/>
      </c>
      <c r="AL66" s="365" t="str">
        <f t="shared" si="9"/>
        <v/>
      </c>
      <c r="AM66" s="657" t="str">
        <f>IFERROR(IF(F66="","",IF(AH66="Check Data","Check Data",VLOOKUP(AL66, 'G-3 Multipliers'!$P$2:$Q$6,2,FALSE))),””)</f>
        <v/>
      </c>
      <c r="AN66" s="81" t="str">
        <f t="shared" si="10"/>
        <v/>
      </c>
      <c r="AO66" s="372"/>
      <c r="AP66" s="373"/>
    </row>
    <row r="67" spans="1:4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1"/>
        <v/>
      </c>
      <c r="R67" s="364" t="str">
        <f t="shared" si="2"/>
        <v/>
      </c>
      <c r="S67" s="655" t="str">
        <f>IFERROR(INDEX('G-1 All Habitats'!$B$3:$B$130,MATCH(R67,'G-1 All Habitats'!$A$3:$A$130,0)),"")</f>
        <v/>
      </c>
      <c r="T67" s="77" t="str">
        <f t="shared" si="11"/>
        <v/>
      </c>
      <c r="U67" s="78" t="str">
        <f t="shared" si="4"/>
        <v/>
      </c>
      <c r="V67" s="367" t="str">
        <f t="shared" si="5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0"/>
        <v/>
      </c>
      <c r="AE67" s="94"/>
      <c r="AF67" s="94"/>
      <c r="AG67" s="359" t="str">
        <f t="shared" si="6"/>
        <v/>
      </c>
      <c r="AH67" s="641" t="str">
        <f t="shared" si="7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8"/>
        <v/>
      </c>
      <c r="AL67" s="365" t="str">
        <f t="shared" si="9"/>
        <v/>
      </c>
      <c r="AM67" s="657" t="str">
        <f>IFERROR(IF(F67="","",IF(AH67="Check Data","Check Data",VLOOKUP(AL67, 'G-3 Multipliers'!$P$2:$Q$6,2,FALSE))),””)</f>
        <v/>
      </c>
      <c r="AN67" s="81" t="str">
        <f t="shared" si="10"/>
        <v/>
      </c>
      <c r="AO67" s="372"/>
      <c r="AP67" s="373"/>
    </row>
    <row r="68" spans="1:4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1"/>
        <v/>
      </c>
      <c r="R68" s="364" t="str">
        <f t="shared" si="2"/>
        <v/>
      </c>
      <c r="S68" s="655" t="str">
        <f>IFERROR(INDEX('G-1 All Habitats'!$B$3:$B$130,MATCH(R68,'G-1 All Habitats'!$A$3:$A$130,0)),"")</f>
        <v/>
      </c>
      <c r="T68" s="77" t="str">
        <f t="shared" si="11"/>
        <v/>
      </c>
      <c r="U68" s="78" t="str">
        <f t="shared" si="4"/>
        <v/>
      </c>
      <c r="V68" s="367" t="str">
        <f t="shared" si="5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0"/>
        <v/>
      </c>
      <c r="AE68" s="94"/>
      <c r="AF68" s="94"/>
      <c r="AG68" s="359" t="str">
        <f t="shared" si="6"/>
        <v/>
      </c>
      <c r="AH68" s="641" t="str">
        <f t="shared" si="7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8"/>
        <v/>
      </c>
      <c r="AL68" s="365" t="str">
        <f t="shared" si="9"/>
        <v/>
      </c>
      <c r="AM68" s="657" t="str">
        <f>IFERROR(IF(F68="","",IF(AH68="Check Data","Check Data",VLOOKUP(AL68, 'G-3 Multipliers'!$P$2:$Q$6,2,FALSE))),””)</f>
        <v/>
      </c>
      <c r="AN68" s="81" t="str">
        <f t="shared" si="10"/>
        <v/>
      </c>
      <c r="AO68" s="372"/>
      <c r="AP68" s="373"/>
    </row>
    <row r="69" spans="1:4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1"/>
        <v/>
      </c>
      <c r="R69" s="364" t="str">
        <f t="shared" si="2"/>
        <v/>
      </c>
      <c r="S69" s="655" t="str">
        <f>IFERROR(INDEX('G-1 All Habitats'!$B$3:$B$130,MATCH(R69,'G-1 All Habitats'!$A$3:$A$130,0)),"")</f>
        <v/>
      </c>
      <c r="T69" s="77" t="str">
        <f t="shared" si="11"/>
        <v/>
      </c>
      <c r="U69" s="78" t="str">
        <f t="shared" si="4"/>
        <v/>
      </c>
      <c r="V69" s="367" t="str">
        <f t="shared" si="5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0"/>
        <v/>
      </c>
      <c r="AE69" s="94"/>
      <c r="AF69" s="94"/>
      <c r="AG69" s="359" t="str">
        <f t="shared" si="6"/>
        <v/>
      </c>
      <c r="AH69" s="641" t="str">
        <f t="shared" si="7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8"/>
        <v/>
      </c>
      <c r="AL69" s="365" t="str">
        <f t="shared" si="9"/>
        <v/>
      </c>
      <c r="AM69" s="657" t="str">
        <f>IFERROR(IF(F69="","",IF(AH69="Check Data","Check Data",VLOOKUP(AL69, 'G-3 Multipliers'!$P$2:$Q$6,2,FALSE))),””)</f>
        <v/>
      </c>
      <c r="AN69" s="81" t="str">
        <f t="shared" si="10"/>
        <v/>
      </c>
      <c r="AO69" s="372"/>
      <c r="AP69" s="373"/>
    </row>
    <row r="70" spans="1:4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1"/>
        <v/>
      </c>
      <c r="R70" s="364" t="str">
        <f t="shared" si="2"/>
        <v/>
      </c>
      <c r="S70" s="655" t="str">
        <f>IFERROR(INDEX('G-1 All Habitats'!$B$3:$B$130,MATCH(R70,'G-1 All Habitats'!$A$3:$A$130,0)),"")</f>
        <v/>
      </c>
      <c r="T70" s="77" t="str">
        <f t="shared" si="11"/>
        <v/>
      </c>
      <c r="U70" s="78" t="str">
        <f t="shared" si="4"/>
        <v/>
      </c>
      <c r="V70" s="367" t="str">
        <f t="shared" si="5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0"/>
        <v/>
      </c>
      <c r="AE70" s="94"/>
      <c r="AF70" s="94"/>
      <c r="AG70" s="359" t="str">
        <f t="shared" si="6"/>
        <v/>
      </c>
      <c r="AH70" s="641" t="str">
        <f t="shared" si="7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8"/>
        <v/>
      </c>
      <c r="AL70" s="365" t="str">
        <f t="shared" si="9"/>
        <v/>
      </c>
      <c r="AM70" s="657" t="str">
        <f>IFERROR(IF(F70="","",IF(AH70="Check Data","Check Data",VLOOKUP(AL70, 'G-3 Multipliers'!$P$2:$Q$6,2,FALSE))),””)</f>
        <v/>
      </c>
      <c r="AN70" s="81" t="str">
        <f t="shared" si="10"/>
        <v/>
      </c>
      <c r="AO70" s="372"/>
      <c r="AP70" s="373"/>
    </row>
    <row r="71" spans="1:4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1"/>
        <v/>
      </c>
      <c r="R71" s="364" t="str">
        <f t="shared" si="2"/>
        <v/>
      </c>
      <c r="S71" s="655" t="str">
        <f>IFERROR(INDEX('G-1 All Habitats'!$B$3:$B$130,MATCH(R71,'G-1 All Habitats'!$A$3:$A$130,0)),"")</f>
        <v/>
      </c>
      <c r="T71" s="77" t="str">
        <f t="shared" si="11"/>
        <v/>
      </c>
      <c r="U71" s="78" t="str">
        <f t="shared" si="4"/>
        <v/>
      </c>
      <c r="V71" s="367" t="str">
        <f t="shared" si="5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0"/>
        <v/>
      </c>
      <c r="AE71" s="94"/>
      <c r="AF71" s="94"/>
      <c r="AG71" s="359" t="str">
        <f t="shared" si="6"/>
        <v/>
      </c>
      <c r="AH71" s="641" t="str">
        <f t="shared" si="7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8"/>
        <v/>
      </c>
      <c r="AL71" s="365" t="str">
        <f t="shared" si="9"/>
        <v/>
      </c>
      <c r="AM71" s="657" t="str">
        <f>IFERROR(IF(F71="","",IF(AH71="Check Data","Check Data",VLOOKUP(AL71, 'G-3 Multipliers'!$P$2:$Q$6,2,FALSE))),””)</f>
        <v/>
      </c>
      <c r="AN71" s="81" t="str">
        <f t="shared" si="10"/>
        <v/>
      </c>
      <c r="AO71" s="372"/>
      <c r="AP71" s="373"/>
    </row>
    <row r="72" spans="1:4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1"/>
        <v/>
      </c>
      <c r="R72" s="364" t="str">
        <f t="shared" si="2"/>
        <v/>
      </c>
      <c r="S72" s="655" t="str">
        <f>IFERROR(INDEX('G-1 All Habitats'!$B$3:$B$130,MATCH(R72,'G-1 All Habitats'!$A$3:$A$130,0)),"")</f>
        <v/>
      </c>
      <c r="T72" s="77" t="str">
        <f t="shared" si="11"/>
        <v/>
      </c>
      <c r="U72" s="78" t="str">
        <f t="shared" si="4"/>
        <v/>
      </c>
      <c r="V72" s="367" t="str">
        <f t="shared" si="5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0"/>
        <v/>
      </c>
      <c r="AE72" s="94"/>
      <c r="AF72" s="94"/>
      <c r="AG72" s="359" t="str">
        <f t="shared" si="6"/>
        <v/>
      </c>
      <c r="AH72" s="641" t="str">
        <f t="shared" si="7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8"/>
        <v/>
      </c>
      <c r="AL72" s="365" t="str">
        <f t="shared" si="9"/>
        <v/>
      </c>
      <c r="AM72" s="657" t="str">
        <f>IFERROR(IF(F72="","",IF(AH72="Check Data","Check Data",VLOOKUP(AL72, 'G-3 Multipliers'!$P$2:$Q$6,2,FALSE))),””)</f>
        <v/>
      </c>
      <c r="AN72" s="81" t="str">
        <f t="shared" si="10"/>
        <v/>
      </c>
      <c r="AO72" s="372"/>
      <c r="AP72" s="373"/>
    </row>
    <row r="73" spans="1:4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1"/>
        <v/>
      </c>
      <c r="R73" s="364" t="str">
        <f t="shared" si="2"/>
        <v/>
      </c>
      <c r="S73" s="655" t="str">
        <f>IFERROR(INDEX('G-1 All Habitats'!$B$3:$B$130,MATCH(R73,'G-1 All Habitats'!$A$3:$A$130,0)),"")</f>
        <v/>
      </c>
      <c r="T73" s="77" t="str">
        <f t="shared" si="11"/>
        <v/>
      </c>
      <c r="U73" s="78" t="str">
        <f t="shared" si="4"/>
        <v/>
      </c>
      <c r="V73" s="367" t="str">
        <f t="shared" si="5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0"/>
        <v/>
      </c>
      <c r="AE73" s="94"/>
      <c r="AF73" s="94"/>
      <c r="AG73" s="359" t="str">
        <f t="shared" si="6"/>
        <v/>
      </c>
      <c r="AH73" s="641" t="str">
        <f t="shared" si="7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8"/>
        <v/>
      </c>
      <c r="AL73" s="365" t="str">
        <f t="shared" si="9"/>
        <v/>
      </c>
      <c r="AM73" s="657" t="str">
        <f>IFERROR(IF(F73="","",IF(AH73="Check Data","Check Data",VLOOKUP(AL73, 'G-3 Multipliers'!$P$2:$Q$6,2,FALSE))),””)</f>
        <v/>
      </c>
      <c r="AN73" s="81" t="str">
        <f t="shared" si="10"/>
        <v/>
      </c>
      <c r="AO73" s="372"/>
      <c r="AP73" s="373"/>
    </row>
    <row r="74" spans="1:4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1"/>
        <v/>
      </c>
      <c r="R74" s="364" t="str">
        <f t="shared" si="2"/>
        <v/>
      </c>
      <c r="S74" s="655" t="str">
        <f>IFERROR(INDEX('G-1 All Habitats'!$B$3:$B$130,MATCH(R74,'G-1 All Habitats'!$A$3:$A$130,0)),"")</f>
        <v/>
      </c>
      <c r="T74" s="77" t="str">
        <f t="shared" si="11"/>
        <v/>
      </c>
      <c r="U74" s="78" t="str">
        <f t="shared" si="4"/>
        <v/>
      </c>
      <c r="V74" s="367" t="str">
        <f t="shared" si="5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0"/>
        <v/>
      </c>
      <c r="AE74" s="94"/>
      <c r="AF74" s="94"/>
      <c r="AG74" s="359" t="str">
        <f t="shared" si="6"/>
        <v/>
      </c>
      <c r="AH74" s="641" t="str">
        <f t="shared" si="7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8"/>
        <v/>
      </c>
      <c r="AL74" s="365" t="str">
        <f t="shared" si="9"/>
        <v/>
      </c>
      <c r="AM74" s="657" t="str">
        <f>IFERROR(IF(F74="","",IF(AH74="Check Data","Check Data",VLOOKUP(AL74, 'G-3 Multipliers'!$P$2:$Q$6,2,FALSE))),””)</f>
        <v/>
      </c>
      <c r="AN74" s="81" t="str">
        <f t="shared" si="10"/>
        <v/>
      </c>
      <c r="AO74" s="372"/>
      <c r="AP74" s="373"/>
    </row>
    <row r="75" spans="1:4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1"/>
        <v/>
      </c>
      <c r="R75" s="364" t="str">
        <f t="shared" si="2"/>
        <v/>
      </c>
      <c r="S75" s="655" t="str">
        <f>IFERROR(INDEX('G-1 All Habitats'!$B$3:$B$130,MATCH(R75,'G-1 All Habitats'!$A$3:$A$130,0)),"")</f>
        <v/>
      </c>
      <c r="T75" s="77" t="str">
        <f t="shared" si="11"/>
        <v/>
      </c>
      <c r="U75" s="78" t="str">
        <f t="shared" si="4"/>
        <v/>
      </c>
      <c r="V75" s="367" t="str">
        <f t="shared" si="5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0"/>
        <v/>
      </c>
      <c r="AE75" s="94"/>
      <c r="AF75" s="94"/>
      <c r="AG75" s="359" t="str">
        <f t="shared" si="6"/>
        <v/>
      </c>
      <c r="AH75" s="641" t="str">
        <f t="shared" si="7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8"/>
        <v/>
      </c>
      <c r="AL75" s="365" t="str">
        <f t="shared" si="9"/>
        <v/>
      </c>
      <c r="AM75" s="657" t="str">
        <f>IFERROR(IF(F75="","",IF(AH75="Check Data","Check Data",VLOOKUP(AL75, 'G-3 Multipliers'!$P$2:$Q$6,2,FALSE))),””)</f>
        <v/>
      </c>
      <c r="AN75" s="81" t="str">
        <f t="shared" si="10"/>
        <v/>
      </c>
      <c r="AO75" s="372"/>
      <c r="AP75" s="373"/>
    </row>
    <row r="76" spans="1:4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1"/>
        <v/>
      </c>
      <c r="R76" s="364" t="str">
        <f t="shared" si="2"/>
        <v/>
      </c>
      <c r="S76" s="655" t="str">
        <f>IFERROR(INDEX('G-1 All Habitats'!$B$3:$B$130,MATCH(R76,'G-1 All Habitats'!$A$3:$A$130,0)),"")</f>
        <v/>
      </c>
      <c r="T76" s="77" t="str">
        <f t="shared" si="11"/>
        <v/>
      </c>
      <c r="U76" s="78" t="str">
        <f t="shared" si="4"/>
        <v/>
      </c>
      <c r="V76" s="367" t="str">
        <f t="shared" ref="V76:V139" si="12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3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6"/>
        <v/>
      </c>
      <c r="AH76" s="641" t="str">
        <f t="shared" si="7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8"/>
        <v/>
      </c>
      <c r="AL76" s="365" t="str">
        <f t="shared" si="9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4">IFERROR(((((V76*X76*Z76)-(V76*I76*K76))*(AM76*AI76))+(V76*I76*K76))*(AC76),"")</f>
        <v/>
      </c>
      <c r="AO76" s="372"/>
      <c r="AP76" s="373"/>
    </row>
    <row r="77" spans="1:4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5">A77</f>
        <v/>
      </c>
      <c r="R77" s="364" t="str">
        <f t="shared" ref="R77:R140" si="16">IF(B77="","",B77)</f>
        <v/>
      </c>
      <c r="S77" s="655" t="str">
        <f>IFERROR(INDEX('G-1 All Habitats'!$B$3:$B$130,MATCH(R77,'G-1 All Habitats'!$A$3:$A$130,0)),"")</f>
        <v/>
      </c>
      <c r="T77" s="77" t="str">
        <f t="shared" si="11"/>
        <v/>
      </c>
      <c r="U77" s="78" t="str">
        <f t="shared" ref="U77:U140" si="17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2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3"/>
        <v/>
      </c>
      <c r="AE77" s="94"/>
      <c r="AF77" s="94"/>
      <c r="AG77" s="359" t="str">
        <f t="shared" ref="AG77:AG140" si="18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19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0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4"/>
        <v/>
      </c>
      <c r="AO77" s="372"/>
      <c r="AP77" s="373"/>
    </row>
    <row r="78" spans="1:4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5"/>
        <v/>
      </c>
      <c r="R78" s="364" t="str">
        <f t="shared" si="16"/>
        <v/>
      </c>
      <c r="S78" s="655" t="str">
        <f>IFERROR(INDEX('G-1 All Habitats'!$B$3:$B$130,MATCH(R78,'G-1 All Habitats'!$A$3:$A$130,0)),"")</f>
        <v/>
      </c>
      <c r="T78" s="77" t="str">
        <f t="shared" si="11"/>
        <v/>
      </c>
      <c r="U78" s="78" t="str">
        <f t="shared" si="17"/>
        <v/>
      </c>
      <c r="V78" s="367" t="str">
        <f t="shared" si="12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3"/>
        <v/>
      </c>
      <c r="AE78" s="94"/>
      <c r="AF78" s="94"/>
      <c r="AG78" s="359" t="str">
        <f t="shared" si="18"/>
        <v/>
      </c>
      <c r="AH78" s="641" t="str">
        <f t="shared" si="19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0"/>
        <v/>
      </c>
      <c r="AL78" s="365" t="str">
        <f t="shared" si="21"/>
        <v/>
      </c>
      <c r="AM78" s="657" t="str">
        <f>IFERROR(IF(F78="","",IF(AH78="Check Data","Check Data",VLOOKUP(AL78, 'G-3 Multipliers'!$P$2:$Q$6,2,FALSE))),””)</f>
        <v/>
      </c>
      <c r="AN78" s="81" t="str">
        <f t="shared" si="14"/>
        <v/>
      </c>
      <c r="AO78" s="372"/>
      <c r="AP78" s="373"/>
    </row>
    <row r="79" spans="1:4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5"/>
        <v/>
      </c>
      <c r="R79" s="364" t="str">
        <f t="shared" si="16"/>
        <v/>
      </c>
      <c r="S79" s="655" t="str">
        <f>IFERROR(INDEX('G-1 All Habitats'!$B$3:$B$130,MATCH(R79,'G-1 All Habitats'!$A$3:$A$130,0)),"")</f>
        <v/>
      </c>
      <c r="T79" s="77" t="str">
        <f t="shared" si="11"/>
        <v/>
      </c>
      <c r="U79" s="78" t="str">
        <f t="shared" si="17"/>
        <v/>
      </c>
      <c r="V79" s="367" t="str">
        <f t="shared" si="12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3"/>
        <v/>
      </c>
      <c r="AE79" s="94"/>
      <c r="AF79" s="94"/>
      <c r="AG79" s="359" t="str">
        <f t="shared" si="18"/>
        <v/>
      </c>
      <c r="AH79" s="641" t="str">
        <f t="shared" si="19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0"/>
        <v/>
      </c>
      <c r="AL79" s="365" t="str">
        <f t="shared" si="21"/>
        <v/>
      </c>
      <c r="AM79" s="657" t="str">
        <f>IFERROR(IF(F79="","",IF(AH79="Check Data","Check Data",VLOOKUP(AL79, 'G-3 Multipliers'!$P$2:$Q$6,2,FALSE))),””)</f>
        <v/>
      </c>
      <c r="AN79" s="81" t="str">
        <f t="shared" si="14"/>
        <v/>
      </c>
      <c r="AO79" s="372"/>
      <c r="AP79" s="373"/>
    </row>
    <row r="80" spans="1:4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5"/>
        <v/>
      </c>
      <c r="R80" s="364" t="str">
        <f t="shared" si="16"/>
        <v/>
      </c>
      <c r="S80" s="655" t="str">
        <f>IFERROR(INDEX('G-1 All Habitats'!$B$3:$B$130,MATCH(R80,'G-1 All Habitats'!$A$3:$A$130,0)),"")</f>
        <v/>
      </c>
      <c r="T80" s="77" t="str">
        <f t="shared" ref="T80:T143" si="22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7"/>
        <v/>
      </c>
      <c r="V80" s="367" t="str">
        <f t="shared" si="12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3"/>
        <v/>
      </c>
      <c r="AE80" s="94"/>
      <c r="AF80" s="94"/>
      <c r="AG80" s="359" t="str">
        <f t="shared" si="18"/>
        <v/>
      </c>
      <c r="AH80" s="641" t="str">
        <f t="shared" si="19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0"/>
        <v/>
      </c>
      <c r="AL80" s="365" t="str">
        <f t="shared" si="21"/>
        <v/>
      </c>
      <c r="AM80" s="657" t="str">
        <f>IFERROR(IF(F80="","",IF(AH80="Check Data","Check Data",VLOOKUP(AL80, 'G-3 Multipliers'!$P$2:$Q$6,2,FALSE))),””)</f>
        <v/>
      </c>
      <c r="AN80" s="81" t="str">
        <f t="shared" si="14"/>
        <v/>
      </c>
      <c r="AO80" s="372"/>
      <c r="AP80" s="373"/>
    </row>
    <row r="81" spans="1:4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5"/>
        <v/>
      </c>
      <c r="R81" s="364" t="str">
        <f t="shared" si="16"/>
        <v/>
      </c>
      <c r="S81" s="655" t="str">
        <f>IFERROR(INDEX('G-1 All Habitats'!$B$3:$B$130,MATCH(R81,'G-1 All Habitats'!$A$3:$A$130,0)),"")</f>
        <v/>
      </c>
      <c r="T81" s="77" t="str">
        <f t="shared" si="22"/>
        <v/>
      </c>
      <c r="U81" s="78" t="str">
        <f t="shared" si="17"/>
        <v/>
      </c>
      <c r="V81" s="367" t="str">
        <f t="shared" si="12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3"/>
        <v/>
      </c>
      <c r="AE81" s="94"/>
      <c r="AF81" s="94"/>
      <c r="AG81" s="359" t="str">
        <f t="shared" si="18"/>
        <v/>
      </c>
      <c r="AH81" s="641" t="str">
        <f t="shared" si="19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0"/>
        <v/>
      </c>
      <c r="AL81" s="365" t="str">
        <f t="shared" si="21"/>
        <v/>
      </c>
      <c r="AM81" s="657" t="str">
        <f>IFERROR(IF(F81="","",IF(AH81="Check Data","Check Data",VLOOKUP(AL81, 'G-3 Multipliers'!$P$2:$Q$6,2,FALSE))),””)</f>
        <v/>
      </c>
      <c r="AN81" s="81" t="str">
        <f t="shared" si="14"/>
        <v/>
      </c>
      <c r="AO81" s="372"/>
      <c r="AP81" s="373"/>
    </row>
    <row r="82" spans="1:4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5"/>
        <v/>
      </c>
      <c r="R82" s="364" t="str">
        <f t="shared" si="16"/>
        <v/>
      </c>
      <c r="S82" s="655" t="str">
        <f>IFERROR(INDEX('G-1 All Habitats'!$B$3:$B$130,MATCH(R82,'G-1 All Habitats'!$A$3:$A$130,0)),"")</f>
        <v/>
      </c>
      <c r="T82" s="77" t="str">
        <f t="shared" si="22"/>
        <v/>
      </c>
      <c r="U82" s="78" t="str">
        <f t="shared" si="17"/>
        <v/>
      </c>
      <c r="V82" s="367" t="str">
        <f t="shared" si="12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3"/>
        <v/>
      </c>
      <c r="AE82" s="94"/>
      <c r="AF82" s="94"/>
      <c r="AG82" s="359" t="str">
        <f t="shared" si="18"/>
        <v/>
      </c>
      <c r="AH82" s="641" t="str">
        <f t="shared" si="19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0"/>
        <v/>
      </c>
      <c r="AL82" s="365" t="str">
        <f t="shared" si="21"/>
        <v/>
      </c>
      <c r="AM82" s="657" t="str">
        <f>IFERROR(IF(F82="","",IF(AH82="Check Data","Check Data",VLOOKUP(AL82, 'G-3 Multipliers'!$P$2:$Q$6,2,FALSE))),””)</f>
        <v/>
      </c>
      <c r="AN82" s="81" t="str">
        <f t="shared" si="14"/>
        <v/>
      </c>
      <c r="AO82" s="372"/>
      <c r="AP82" s="373"/>
    </row>
    <row r="83" spans="1:4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5"/>
        <v/>
      </c>
      <c r="R83" s="364" t="str">
        <f t="shared" si="16"/>
        <v/>
      </c>
      <c r="S83" s="655" t="str">
        <f>IFERROR(INDEX('G-1 All Habitats'!$B$3:$B$130,MATCH(R83,'G-1 All Habitats'!$A$3:$A$130,0)),"")</f>
        <v/>
      </c>
      <c r="T83" s="77" t="str">
        <f t="shared" si="22"/>
        <v/>
      </c>
      <c r="U83" s="78" t="str">
        <f t="shared" si="17"/>
        <v/>
      </c>
      <c r="V83" s="367" t="str">
        <f t="shared" si="12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3"/>
        <v/>
      </c>
      <c r="AE83" s="94"/>
      <c r="AF83" s="94"/>
      <c r="AG83" s="359" t="str">
        <f t="shared" si="18"/>
        <v/>
      </c>
      <c r="AH83" s="641" t="str">
        <f t="shared" si="19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0"/>
        <v/>
      </c>
      <c r="AL83" s="365" t="str">
        <f t="shared" si="21"/>
        <v/>
      </c>
      <c r="AM83" s="657" t="str">
        <f>IFERROR(IF(F83="","",IF(AH83="Check Data","Check Data",VLOOKUP(AL83, 'G-3 Multipliers'!$P$2:$Q$6,2,FALSE))),””)</f>
        <v/>
      </c>
      <c r="AN83" s="81" t="str">
        <f t="shared" si="14"/>
        <v/>
      </c>
      <c r="AO83" s="372"/>
      <c r="AP83" s="373"/>
    </row>
    <row r="84" spans="1:4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5"/>
        <v/>
      </c>
      <c r="R84" s="364" t="str">
        <f t="shared" si="16"/>
        <v/>
      </c>
      <c r="S84" s="655" t="str">
        <f>IFERROR(INDEX('G-1 All Habitats'!$B$3:$B$130,MATCH(R84,'G-1 All Habitats'!$A$3:$A$130,0)),"")</f>
        <v/>
      </c>
      <c r="T84" s="77" t="str">
        <f t="shared" si="22"/>
        <v/>
      </c>
      <c r="U84" s="78" t="str">
        <f t="shared" si="17"/>
        <v/>
      </c>
      <c r="V84" s="367" t="str">
        <f t="shared" si="12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3"/>
        <v/>
      </c>
      <c r="AE84" s="94"/>
      <c r="AF84" s="94"/>
      <c r="AG84" s="359" t="str">
        <f t="shared" si="18"/>
        <v/>
      </c>
      <c r="AH84" s="641" t="str">
        <f t="shared" si="19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0"/>
        <v/>
      </c>
      <c r="AL84" s="365" t="str">
        <f t="shared" si="21"/>
        <v/>
      </c>
      <c r="AM84" s="657" t="str">
        <f>IFERROR(IF(F84="","",IF(AH84="Check Data","Check Data",VLOOKUP(AL84, 'G-3 Multipliers'!$P$2:$Q$6,2,FALSE))),””)</f>
        <v/>
      </c>
      <c r="AN84" s="81" t="str">
        <f t="shared" si="14"/>
        <v/>
      </c>
      <c r="AO84" s="372"/>
      <c r="AP84" s="373"/>
    </row>
    <row r="85" spans="1:4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5"/>
        <v/>
      </c>
      <c r="R85" s="364" t="str">
        <f t="shared" si="16"/>
        <v/>
      </c>
      <c r="S85" s="655" t="str">
        <f>IFERROR(INDEX('G-1 All Habitats'!$B$3:$B$130,MATCH(R85,'G-1 All Habitats'!$A$3:$A$130,0)),"")</f>
        <v/>
      </c>
      <c r="T85" s="77" t="str">
        <f t="shared" si="22"/>
        <v/>
      </c>
      <c r="U85" s="78" t="str">
        <f t="shared" si="17"/>
        <v/>
      </c>
      <c r="V85" s="367" t="str">
        <f t="shared" si="12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3"/>
        <v/>
      </c>
      <c r="AE85" s="94"/>
      <c r="AF85" s="94"/>
      <c r="AG85" s="359" t="str">
        <f t="shared" si="18"/>
        <v/>
      </c>
      <c r="AH85" s="641" t="str">
        <f t="shared" si="19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0"/>
        <v/>
      </c>
      <c r="AL85" s="365" t="str">
        <f t="shared" si="21"/>
        <v/>
      </c>
      <c r="AM85" s="657" t="str">
        <f>IFERROR(IF(F85="","",IF(AH85="Check Data","Check Data",VLOOKUP(AL85, 'G-3 Multipliers'!$P$2:$Q$6,2,FALSE))),””)</f>
        <v/>
      </c>
      <c r="AN85" s="81" t="str">
        <f t="shared" si="14"/>
        <v/>
      </c>
      <c r="AO85" s="372"/>
      <c r="AP85" s="373"/>
    </row>
    <row r="86" spans="1:4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5"/>
        <v/>
      </c>
      <c r="R86" s="364" t="str">
        <f t="shared" si="16"/>
        <v/>
      </c>
      <c r="S86" s="655" t="str">
        <f>IFERROR(INDEX('G-1 All Habitats'!$B$3:$B$130,MATCH(R86,'G-1 All Habitats'!$A$3:$A$130,0)),"")</f>
        <v/>
      </c>
      <c r="T86" s="77" t="str">
        <f t="shared" si="22"/>
        <v/>
      </c>
      <c r="U86" s="78" t="str">
        <f t="shared" si="17"/>
        <v/>
      </c>
      <c r="V86" s="367" t="str">
        <f t="shared" si="12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3"/>
        <v/>
      </c>
      <c r="AE86" s="94"/>
      <c r="AF86" s="94"/>
      <c r="AG86" s="359" t="str">
        <f t="shared" si="18"/>
        <v/>
      </c>
      <c r="AH86" s="641" t="str">
        <f t="shared" si="19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0"/>
        <v/>
      </c>
      <c r="AL86" s="365" t="str">
        <f t="shared" si="21"/>
        <v/>
      </c>
      <c r="AM86" s="657" t="str">
        <f>IFERROR(IF(F86="","",IF(AH86="Check Data","Check Data",VLOOKUP(AL86, 'G-3 Multipliers'!$P$2:$Q$6,2,FALSE))),””)</f>
        <v/>
      </c>
      <c r="AN86" s="81" t="str">
        <f t="shared" si="14"/>
        <v/>
      </c>
      <c r="AO86" s="372"/>
      <c r="AP86" s="373"/>
    </row>
    <row r="87" spans="1:4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5"/>
        <v/>
      </c>
      <c r="R87" s="364" t="str">
        <f t="shared" si="16"/>
        <v/>
      </c>
      <c r="S87" s="655" t="str">
        <f>IFERROR(INDEX('G-1 All Habitats'!$B$3:$B$130,MATCH(R87,'G-1 All Habitats'!$A$3:$A$130,0)),"")</f>
        <v/>
      </c>
      <c r="T87" s="77" t="str">
        <f t="shared" si="22"/>
        <v/>
      </c>
      <c r="U87" s="78" t="str">
        <f t="shared" si="17"/>
        <v/>
      </c>
      <c r="V87" s="367" t="str">
        <f t="shared" si="12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3"/>
        <v/>
      </c>
      <c r="AE87" s="94"/>
      <c r="AF87" s="94"/>
      <c r="AG87" s="359" t="str">
        <f t="shared" si="18"/>
        <v/>
      </c>
      <c r="AH87" s="641" t="str">
        <f t="shared" si="19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0"/>
        <v/>
      </c>
      <c r="AL87" s="365" t="str">
        <f t="shared" si="21"/>
        <v/>
      </c>
      <c r="AM87" s="657" t="str">
        <f>IFERROR(IF(F87="","",IF(AH87="Check Data","Check Data",VLOOKUP(AL87, 'G-3 Multipliers'!$P$2:$Q$6,2,FALSE))),””)</f>
        <v/>
      </c>
      <c r="AN87" s="81" t="str">
        <f t="shared" si="14"/>
        <v/>
      </c>
      <c r="AO87" s="372"/>
      <c r="AP87" s="373"/>
    </row>
    <row r="88" spans="1:4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5"/>
        <v/>
      </c>
      <c r="R88" s="364" t="str">
        <f t="shared" si="16"/>
        <v/>
      </c>
      <c r="S88" s="655" t="str">
        <f>IFERROR(INDEX('G-1 All Habitats'!$B$3:$B$130,MATCH(R88,'G-1 All Habitats'!$A$3:$A$130,0)),"")</f>
        <v/>
      </c>
      <c r="T88" s="77" t="str">
        <f t="shared" si="22"/>
        <v/>
      </c>
      <c r="U88" s="78" t="str">
        <f t="shared" si="17"/>
        <v/>
      </c>
      <c r="V88" s="367" t="str">
        <f t="shared" si="12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3"/>
        <v/>
      </c>
      <c r="AE88" s="94"/>
      <c r="AF88" s="94"/>
      <c r="AG88" s="359" t="str">
        <f t="shared" si="18"/>
        <v/>
      </c>
      <c r="AH88" s="641" t="str">
        <f t="shared" si="19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0"/>
        <v/>
      </c>
      <c r="AL88" s="365" t="str">
        <f t="shared" si="21"/>
        <v/>
      </c>
      <c r="AM88" s="657" t="str">
        <f>IFERROR(IF(F88="","",IF(AH88="Check Data","Check Data",VLOOKUP(AL88, 'G-3 Multipliers'!$P$2:$Q$6,2,FALSE))),””)</f>
        <v/>
      </c>
      <c r="AN88" s="81" t="str">
        <f t="shared" si="14"/>
        <v/>
      </c>
      <c r="AO88" s="372"/>
      <c r="AP88" s="373"/>
    </row>
    <row r="89" spans="1:4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5"/>
        <v/>
      </c>
      <c r="R89" s="364" t="str">
        <f t="shared" si="16"/>
        <v/>
      </c>
      <c r="S89" s="655" t="str">
        <f>IFERROR(INDEX('G-1 All Habitats'!$B$3:$B$130,MATCH(R89,'G-1 All Habitats'!$A$3:$A$130,0)),"")</f>
        <v/>
      </c>
      <c r="T89" s="77" t="str">
        <f t="shared" si="22"/>
        <v/>
      </c>
      <c r="U89" s="78" t="str">
        <f t="shared" si="17"/>
        <v/>
      </c>
      <c r="V89" s="367" t="str">
        <f t="shared" si="12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3"/>
        <v/>
      </c>
      <c r="AE89" s="94"/>
      <c r="AF89" s="94"/>
      <c r="AG89" s="359" t="str">
        <f t="shared" si="18"/>
        <v/>
      </c>
      <c r="AH89" s="641" t="str">
        <f t="shared" si="19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0"/>
        <v/>
      </c>
      <c r="AL89" s="365" t="str">
        <f t="shared" si="21"/>
        <v/>
      </c>
      <c r="AM89" s="657" t="str">
        <f>IFERROR(IF(F89="","",IF(AH89="Check Data","Check Data",VLOOKUP(AL89, 'G-3 Multipliers'!$P$2:$Q$6,2,FALSE))),””)</f>
        <v/>
      </c>
      <c r="AN89" s="81" t="str">
        <f t="shared" si="14"/>
        <v/>
      </c>
      <c r="AO89" s="372"/>
      <c r="AP89" s="373"/>
    </row>
    <row r="90" spans="1:4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5"/>
        <v/>
      </c>
      <c r="R90" s="364" t="str">
        <f t="shared" si="16"/>
        <v/>
      </c>
      <c r="S90" s="655" t="str">
        <f>IFERROR(INDEX('G-1 All Habitats'!$B$3:$B$130,MATCH(R90,'G-1 All Habitats'!$A$3:$A$130,0)),"")</f>
        <v/>
      </c>
      <c r="T90" s="77" t="str">
        <f t="shared" si="22"/>
        <v/>
      </c>
      <c r="U90" s="78" t="str">
        <f t="shared" si="17"/>
        <v/>
      </c>
      <c r="V90" s="367" t="str">
        <f t="shared" si="12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3"/>
        <v/>
      </c>
      <c r="AE90" s="94"/>
      <c r="AF90" s="94"/>
      <c r="AG90" s="359" t="str">
        <f t="shared" si="18"/>
        <v/>
      </c>
      <c r="AH90" s="641" t="str">
        <f t="shared" si="19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0"/>
        <v/>
      </c>
      <c r="AL90" s="365" t="str">
        <f t="shared" si="21"/>
        <v/>
      </c>
      <c r="AM90" s="657" t="str">
        <f>IFERROR(IF(F90="","",IF(AH90="Check Data","Check Data",VLOOKUP(AL90, 'G-3 Multipliers'!$P$2:$Q$6,2,FALSE))),””)</f>
        <v/>
      </c>
      <c r="AN90" s="81" t="str">
        <f t="shared" si="14"/>
        <v/>
      </c>
      <c r="AO90" s="372"/>
      <c r="AP90" s="373"/>
    </row>
    <row r="91" spans="1:4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5"/>
        <v/>
      </c>
      <c r="R91" s="364" t="str">
        <f t="shared" si="16"/>
        <v/>
      </c>
      <c r="S91" s="655" t="str">
        <f>IFERROR(INDEX('G-1 All Habitats'!$B$3:$B$130,MATCH(R91,'G-1 All Habitats'!$A$3:$A$130,0)),"")</f>
        <v/>
      </c>
      <c r="T91" s="77" t="str">
        <f t="shared" si="22"/>
        <v/>
      </c>
      <c r="U91" s="78" t="str">
        <f t="shared" si="17"/>
        <v/>
      </c>
      <c r="V91" s="367" t="str">
        <f t="shared" si="12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3"/>
        <v/>
      </c>
      <c r="AE91" s="94"/>
      <c r="AF91" s="94"/>
      <c r="AG91" s="359" t="str">
        <f t="shared" si="18"/>
        <v/>
      </c>
      <c r="AH91" s="641" t="str">
        <f t="shared" si="19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0"/>
        <v/>
      </c>
      <c r="AL91" s="365" t="str">
        <f t="shared" si="21"/>
        <v/>
      </c>
      <c r="AM91" s="657" t="str">
        <f>IFERROR(IF(F91="","",IF(AH91="Check Data","Check Data",VLOOKUP(AL91, 'G-3 Multipliers'!$P$2:$Q$6,2,FALSE))),””)</f>
        <v/>
      </c>
      <c r="AN91" s="81" t="str">
        <f t="shared" si="14"/>
        <v/>
      </c>
      <c r="AO91" s="372"/>
      <c r="AP91" s="373"/>
    </row>
    <row r="92" spans="1:4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5"/>
        <v/>
      </c>
      <c r="R92" s="364" t="str">
        <f t="shared" si="16"/>
        <v/>
      </c>
      <c r="S92" s="655" t="str">
        <f>IFERROR(INDEX('G-1 All Habitats'!$B$3:$B$130,MATCH(R92,'G-1 All Habitats'!$A$3:$A$130,0)),"")</f>
        <v/>
      </c>
      <c r="T92" s="77" t="str">
        <f t="shared" si="22"/>
        <v/>
      </c>
      <c r="U92" s="78" t="str">
        <f t="shared" si="17"/>
        <v/>
      </c>
      <c r="V92" s="367" t="str">
        <f t="shared" si="12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3"/>
        <v/>
      </c>
      <c r="AE92" s="94"/>
      <c r="AF92" s="94"/>
      <c r="AG92" s="359" t="str">
        <f t="shared" si="18"/>
        <v/>
      </c>
      <c r="AH92" s="641" t="str">
        <f t="shared" si="19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0"/>
        <v/>
      </c>
      <c r="AL92" s="365" t="str">
        <f t="shared" si="21"/>
        <v/>
      </c>
      <c r="AM92" s="657" t="str">
        <f>IFERROR(IF(F92="","",IF(AH92="Check Data","Check Data",VLOOKUP(AL92, 'G-3 Multipliers'!$P$2:$Q$6,2,FALSE))),””)</f>
        <v/>
      </c>
      <c r="AN92" s="81" t="str">
        <f t="shared" si="14"/>
        <v/>
      </c>
      <c r="AO92" s="372"/>
      <c r="AP92" s="373"/>
    </row>
    <row r="93" spans="1:4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5"/>
        <v/>
      </c>
      <c r="R93" s="364" t="str">
        <f t="shared" si="16"/>
        <v/>
      </c>
      <c r="S93" s="655" t="str">
        <f>IFERROR(INDEX('G-1 All Habitats'!$B$3:$B$130,MATCH(R93,'G-1 All Habitats'!$A$3:$A$130,0)),"")</f>
        <v/>
      </c>
      <c r="T93" s="77" t="str">
        <f t="shared" si="22"/>
        <v/>
      </c>
      <c r="U93" s="78" t="str">
        <f t="shared" si="17"/>
        <v/>
      </c>
      <c r="V93" s="367" t="str">
        <f t="shared" si="12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3"/>
        <v/>
      </c>
      <c r="AE93" s="94"/>
      <c r="AF93" s="94"/>
      <c r="AG93" s="359" t="str">
        <f t="shared" si="18"/>
        <v/>
      </c>
      <c r="AH93" s="641" t="str">
        <f t="shared" si="19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0"/>
        <v/>
      </c>
      <c r="AL93" s="365" t="str">
        <f t="shared" si="21"/>
        <v/>
      </c>
      <c r="AM93" s="657" t="str">
        <f>IFERROR(IF(F93="","",IF(AH93="Check Data","Check Data",VLOOKUP(AL93, 'G-3 Multipliers'!$P$2:$Q$6,2,FALSE))),””)</f>
        <v/>
      </c>
      <c r="AN93" s="81" t="str">
        <f t="shared" si="14"/>
        <v/>
      </c>
      <c r="AO93" s="372"/>
      <c r="AP93" s="373"/>
    </row>
    <row r="94" spans="1:4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5"/>
        <v/>
      </c>
      <c r="R94" s="364" t="str">
        <f t="shared" si="16"/>
        <v/>
      </c>
      <c r="S94" s="655" t="str">
        <f>IFERROR(INDEX('G-1 All Habitats'!$B$3:$B$130,MATCH(R94,'G-1 All Habitats'!$A$3:$A$130,0)),"")</f>
        <v/>
      </c>
      <c r="T94" s="77" t="str">
        <f t="shared" si="22"/>
        <v/>
      </c>
      <c r="U94" s="78" t="str">
        <f t="shared" si="17"/>
        <v/>
      </c>
      <c r="V94" s="367" t="str">
        <f t="shared" si="12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3"/>
        <v/>
      </c>
      <c r="AE94" s="94"/>
      <c r="AF94" s="94"/>
      <c r="AG94" s="359" t="str">
        <f t="shared" si="18"/>
        <v/>
      </c>
      <c r="AH94" s="641" t="str">
        <f t="shared" si="19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0"/>
        <v/>
      </c>
      <c r="AL94" s="365" t="str">
        <f t="shared" si="21"/>
        <v/>
      </c>
      <c r="AM94" s="657" t="str">
        <f>IFERROR(IF(F94="","",IF(AH94="Check Data","Check Data",VLOOKUP(AL94, 'G-3 Multipliers'!$P$2:$Q$6,2,FALSE))),””)</f>
        <v/>
      </c>
      <c r="AN94" s="81" t="str">
        <f t="shared" si="14"/>
        <v/>
      </c>
      <c r="AO94" s="372"/>
      <c r="AP94" s="373"/>
    </row>
    <row r="95" spans="1:4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5"/>
        <v/>
      </c>
      <c r="R95" s="364" t="str">
        <f t="shared" si="16"/>
        <v/>
      </c>
      <c r="S95" s="655" t="str">
        <f>IFERROR(INDEX('G-1 All Habitats'!$B$3:$B$130,MATCH(R95,'G-1 All Habitats'!$A$3:$A$130,0)),"")</f>
        <v/>
      </c>
      <c r="T95" s="77" t="str">
        <f t="shared" si="22"/>
        <v/>
      </c>
      <c r="U95" s="78" t="str">
        <f t="shared" si="17"/>
        <v/>
      </c>
      <c r="V95" s="367" t="str">
        <f t="shared" si="12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3"/>
        <v/>
      </c>
      <c r="AE95" s="94"/>
      <c r="AF95" s="94"/>
      <c r="AG95" s="359" t="str">
        <f t="shared" si="18"/>
        <v/>
      </c>
      <c r="AH95" s="641" t="str">
        <f t="shared" si="19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0"/>
        <v/>
      </c>
      <c r="AL95" s="365" t="str">
        <f t="shared" si="21"/>
        <v/>
      </c>
      <c r="AM95" s="657" t="str">
        <f>IFERROR(IF(F95="","",IF(AH95="Check Data","Check Data",VLOOKUP(AL95, 'G-3 Multipliers'!$P$2:$Q$6,2,FALSE))),””)</f>
        <v/>
      </c>
      <c r="AN95" s="81" t="str">
        <f t="shared" si="14"/>
        <v/>
      </c>
      <c r="AO95" s="372"/>
      <c r="AP95" s="373"/>
    </row>
    <row r="96" spans="1:4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5"/>
        <v/>
      </c>
      <c r="R96" s="364" t="str">
        <f t="shared" si="16"/>
        <v/>
      </c>
      <c r="S96" s="655" t="str">
        <f>IFERROR(INDEX('G-1 All Habitats'!$B$3:$B$130,MATCH(R96,'G-1 All Habitats'!$A$3:$A$130,0)),"")</f>
        <v/>
      </c>
      <c r="T96" s="77" t="str">
        <f t="shared" si="22"/>
        <v/>
      </c>
      <c r="U96" s="78" t="str">
        <f t="shared" si="17"/>
        <v/>
      </c>
      <c r="V96" s="367" t="str">
        <f t="shared" si="12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3"/>
        <v/>
      </c>
      <c r="AE96" s="94"/>
      <c r="AF96" s="94"/>
      <c r="AG96" s="359" t="str">
        <f t="shared" si="18"/>
        <v/>
      </c>
      <c r="AH96" s="641" t="str">
        <f t="shared" si="19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0"/>
        <v/>
      </c>
      <c r="AL96" s="365" t="str">
        <f t="shared" si="21"/>
        <v/>
      </c>
      <c r="AM96" s="657" t="str">
        <f>IFERROR(IF(F96="","",IF(AH96="Check Data","Check Data",VLOOKUP(AL96, 'G-3 Multipliers'!$P$2:$Q$6,2,FALSE))),””)</f>
        <v/>
      </c>
      <c r="AN96" s="81" t="str">
        <f t="shared" si="14"/>
        <v/>
      </c>
      <c r="AO96" s="372"/>
      <c r="AP96" s="373"/>
    </row>
    <row r="97" spans="1:4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5"/>
        <v/>
      </c>
      <c r="R97" s="364" t="str">
        <f t="shared" si="16"/>
        <v/>
      </c>
      <c r="S97" s="655" t="str">
        <f>IFERROR(INDEX('G-1 All Habitats'!$B$3:$B$130,MATCH(R97,'G-1 All Habitats'!$A$3:$A$130,0)),"")</f>
        <v/>
      </c>
      <c r="T97" s="77" t="str">
        <f t="shared" si="22"/>
        <v/>
      </c>
      <c r="U97" s="78" t="str">
        <f t="shared" si="17"/>
        <v/>
      </c>
      <c r="V97" s="367" t="str">
        <f t="shared" si="12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3"/>
        <v/>
      </c>
      <c r="AE97" s="94"/>
      <c r="AF97" s="94"/>
      <c r="AG97" s="359" t="str">
        <f t="shared" si="18"/>
        <v/>
      </c>
      <c r="AH97" s="641" t="str">
        <f t="shared" si="19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0"/>
        <v/>
      </c>
      <c r="AL97" s="365" t="str">
        <f t="shared" si="21"/>
        <v/>
      </c>
      <c r="AM97" s="657" t="str">
        <f>IFERROR(IF(F97="","",IF(AH97="Check Data","Check Data",VLOOKUP(AL97, 'G-3 Multipliers'!$P$2:$Q$6,2,FALSE))),””)</f>
        <v/>
      </c>
      <c r="AN97" s="81" t="str">
        <f t="shared" si="14"/>
        <v/>
      </c>
      <c r="AO97" s="372"/>
      <c r="AP97" s="373"/>
    </row>
    <row r="98" spans="1:4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5"/>
        <v/>
      </c>
      <c r="R98" s="364" t="str">
        <f t="shared" si="16"/>
        <v/>
      </c>
      <c r="S98" s="655" t="str">
        <f>IFERROR(INDEX('G-1 All Habitats'!$B$3:$B$130,MATCH(R98,'G-1 All Habitats'!$A$3:$A$130,0)),"")</f>
        <v/>
      </c>
      <c r="T98" s="77" t="str">
        <f t="shared" si="22"/>
        <v/>
      </c>
      <c r="U98" s="78" t="str">
        <f t="shared" si="17"/>
        <v/>
      </c>
      <c r="V98" s="367" t="str">
        <f t="shared" si="12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3"/>
        <v/>
      </c>
      <c r="AE98" s="94"/>
      <c r="AF98" s="94"/>
      <c r="AG98" s="359" t="str">
        <f t="shared" si="18"/>
        <v/>
      </c>
      <c r="AH98" s="641" t="str">
        <f t="shared" si="19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0"/>
        <v/>
      </c>
      <c r="AL98" s="365" t="str">
        <f t="shared" si="21"/>
        <v/>
      </c>
      <c r="AM98" s="657" t="str">
        <f>IFERROR(IF(F98="","",IF(AH98="Check Data","Check Data",VLOOKUP(AL98, 'G-3 Multipliers'!$P$2:$Q$6,2,FALSE))),””)</f>
        <v/>
      </c>
      <c r="AN98" s="81" t="str">
        <f t="shared" si="14"/>
        <v/>
      </c>
      <c r="AO98" s="372"/>
      <c r="AP98" s="373"/>
    </row>
    <row r="99" spans="1:4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5"/>
        <v/>
      </c>
      <c r="R99" s="364" t="str">
        <f t="shared" si="16"/>
        <v/>
      </c>
      <c r="S99" s="655" t="str">
        <f>IFERROR(INDEX('G-1 All Habitats'!$B$3:$B$130,MATCH(R99,'G-1 All Habitats'!$A$3:$A$130,0)),"")</f>
        <v/>
      </c>
      <c r="T99" s="77" t="str">
        <f t="shared" si="22"/>
        <v/>
      </c>
      <c r="U99" s="78" t="str">
        <f t="shared" si="17"/>
        <v/>
      </c>
      <c r="V99" s="367" t="str">
        <f t="shared" si="12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3"/>
        <v/>
      </c>
      <c r="AE99" s="94"/>
      <c r="AF99" s="94"/>
      <c r="AG99" s="359" t="str">
        <f t="shared" si="18"/>
        <v/>
      </c>
      <c r="AH99" s="641" t="str">
        <f t="shared" si="19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0"/>
        <v/>
      </c>
      <c r="AL99" s="365" t="str">
        <f t="shared" si="21"/>
        <v/>
      </c>
      <c r="AM99" s="657" t="str">
        <f>IFERROR(IF(F99="","",IF(AH99="Check Data","Check Data",VLOOKUP(AL99, 'G-3 Multipliers'!$P$2:$Q$6,2,FALSE))),””)</f>
        <v/>
      </c>
      <c r="AN99" s="81" t="str">
        <f t="shared" si="14"/>
        <v/>
      </c>
      <c r="AO99" s="372"/>
      <c r="AP99" s="373"/>
    </row>
    <row r="100" spans="1:4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5"/>
        <v/>
      </c>
      <c r="R100" s="364" t="str">
        <f t="shared" si="16"/>
        <v/>
      </c>
      <c r="S100" s="655" t="str">
        <f>IFERROR(INDEX('G-1 All Habitats'!$B$3:$B$130,MATCH(R100,'G-1 All Habitats'!$A$3:$A$130,0)),"")</f>
        <v/>
      </c>
      <c r="T100" s="77" t="str">
        <f t="shared" si="22"/>
        <v/>
      </c>
      <c r="U100" s="78" t="str">
        <f t="shared" si="17"/>
        <v/>
      </c>
      <c r="V100" s="367" t="str">
        <f t="shared" si="12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3"/>
        <v/>
      </c>
      <c r="AE100" s="94"/>
      <c r="AF100" s="94"/>
      <c r="AG100" s="359" t="str">
        <f t="shared" si="18"/>
        <v/>
      </c>
      <c r="AH100" s="641" t="str">
        <f t="shared" si="19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0"/>
        <v/>
      </c>
      <c r="AL100" s="365" t="str">
        <f t="shared" si="21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4"/>
        <v/>
      </c>
      <c r="AO100" s="372"/>
      <c r="AP100" s="373"/>
    </row>
    <row r="101" spans="1:4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5"/>
        <v/>
      </c>
      <c r="R101" s="364" t="str">
        <f t="shared" si="16"/>
        <v/>
      </c>
      <c r="S101" s="655" t="str">
        <f>IFERROR(INDEX('G-1 All Habitats'!$B$3:$B$130,MATCH(R101,'G-1 All Habitats'!$A$3:$A$130,0)),"")</f>
        <v/>
      </c>
      <c r="T101" s="77" t="str">
        <f t="shared" si="22"/>
        <v/>
      </c>
      <c r="U101" s="78" t="str">
        <f t="shared" si="17"/>
        <v/>
      </c>
      <c r="V101" s="367" t="str">
        <f t="shared" si="12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3"/>
        <v/>
      </c>
      <c r="AE101" s="94"/>
      <c r="AF101" s="94"/>
      <c r="AG101" s="359" t="str">
        <f t="shared" si="18"/>
        <v/>
      </c>
      <c r="AH101" s="641" t="str">
        <f t="shared" si="19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0"/>
        <v/>
      </c>
      <c r="AL101" s="365" t="str">
        <f t="shared" si="21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4"/>
        <v/>
      </c>
      <c r="AO101" s="372"/>
      <c r="AP101" s="373"/>
    </row>
    <row r="102" spans="1:4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5"/>
        <v/>
      </c>
      <c r="R102" s="364" t="str">
        <f t="shared" si="16"/>
        <v/>
      </c>
      <c r="S102" s="655" t="str">
        <f>IFERROR(INDEX('G-1 All Habitats'!$B$3:$B$130,MATCH(R102,'G-1 All Habitats'!$A$3:$A$130,0)),"")</f>
        <v/>
      </c>
      <c r="T102" s="77" t="str">
        <f t="shared" si="22"/>
        <v/>
      </c>
      <c r="U102" s="78" t="str">
        <f t="shared" si="17"/>
        <v/>
      </c>
      <c r="V102" s="367" t="str">
        <f t="shared" si="12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3"/>
        <v/>
      </c>
      <c r="AE102" s="94"/>
      <c r="AF102" s="94"/>
      <c r="AG102" s="359" t="str">
        <f t="shared" si="18"/>
        <v/>
      </c>
      <c r="AH102" s="641" t="str">
        <f t="shared" si="19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0"/>
        <v/>
      </c>
      <c r="AL102" s="365" t="str">
        <f t="shared" si="21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4"/>
        <v/>
      </c>
      <c r="AO102" s="372"/>
      <c r="AP102" s="373"/>
    </row>
    <row r="103" spans="1:4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5"/>
        <v/>
      </c>
      <c r="R103" s="364" t="str">
        <f t="shared" si="16"/>
        <v/>
      </c>
      <c r="S103" s="655" t="str">
        <f>IFERROR(INDEX('G-1 All Habitats'!$B$3:$B$130,MATCH(R103,'G-1 All Habitats'!$A$3:$A$130,0)),"")</f>
        <v/>
      </c>
      <c r="T103" s="77" t="str">
        <f t="shared" si="22"/>
        <v/>
      </c>
      <c r="U103" s="78" t="str">
        <f t="shared" si="17"/>
        <v/>
      </c>
      <c r="V103" s="367" t="str">
        <f t="shared" si="12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3"/>
        <v/>
      </c>
      <c r="AE103" s="94"/>
      <c r="AF103" s="94"/>
      <c r="AG103" s="359" t="str">
        <f t="shared" si="18"/>
        <v/>
      </c>
      <c r="AH103" s="641" t="str">
        <f t="shared" si="19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0"/>
        <v/>
      </c>
      <c r="AL103" s="365" t="str">
        <f t="shared" si="21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4"/>
        <v/>
      </c>
      <c r="AO103" s="372"/>
      <c r="AP103" s="373"/>
    </row>
    <row r="104" spans="1:4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5"/>
        <v/>
      </c>
      <c r="R104" s="364" t="str">
        <f t="shared" si="16"/>
        <v/>
      </c>
      <c r="S104" s="655" t="str">
        <f>IFERROR(INDEX('G-1 All Habitats'!$B$3:$B$130,MATCH(R104,'G-1 All Habitats'!$A$3:$A$130,0)),"")</f>
        <v/>
      </c>
      <c r="T104" s="77" t="str">
        <f t="shared" si="22"/>
        <v/>
      </c>
      <c r="U104" s="78" t="str">
        <f t="shared" si="17"/>
        <v/>
      </c>
      <c r="V104" s="367" t="str">
        <f t="shared" si="12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3"/>
        <v/>
      </c>
      <c r="AE104" s="94"/>
      <c r="AF104" s="94"/>
      <c r="AG104" s="359" t="str">
        <f t="shared" si="18"/>
        <v/>
      </c>
      <c r="AH104" s="641" t="str">
        <f t="shared" si="19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0"/>
        <v/>
      </c>
      <c r="AL104" s="365" t="str">
        <f t="shared" si="21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4"/>
        <v/>
      </c>
      <c r="AO104" s="372"/>
      <c r="AP104" s="373"/>
    </row>
    <row r="105" spans="1:4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5"/>
        <v/>
      </c>
      <c r="R105" s="364" t="str">
        <f t="shared" si="16"/>
        <v/>
      </c>
      <c r="S105" s="655" t="str">
        <f>IFERROR(INDEX('G-1 All Habitats'!$B$3:$B$130,MATCH(R105,'G-1 All Habitats'!$A$3:$A$130,0)),"")</f>
        <v/>
      </c>
      <c r="T105" s="77" t="str">
        <f t="shared" si="22"/>
        <v/>
      </c>
      <c r="U105" s="78" t="str">
        <f t="shared" si="17"/>
        <v/>
      </c>
      <c r="V105" s="367" t="str">
        <f t="shared" si="12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3"/>
        <v/>
      </c>
      <c r="AE105" s="94"/>
      <c r="AF105" s="94"/>
      <c r="AG105" s="359" t="str">
        <f t="shared" si="18"/>
        <v/>
      </c>
      <c r="AH105" s="641" t="str">
        <f t="shared" si="19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0"/>
        <v/>
      </c>
      <c r="AL105" s="365" t="str">
        <f t="shared" si="21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4"/>
        <v/>
      </c>
      <c r="AO105" s="372"/>
      <c r="AP105" s="373"/>
    </row>
    <row r="106" spans="1:4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5"/>
        <v/>
      </c>
      <c r="R106" s="364" t="str">
        <f t="shared" si="16"/>
        <v/>
      </c>
      <c r="S106" s="655" t="str">
        <f>IFERROR(INDEX('G-1 All Habitats'!$B$3:$B$130,MATCH(R106,'G-1 All Habitats'!$A$3:$A$130,0)),"")</f>
        <v/>
      </c>
      <c r="T106" s="77" t="str">
        <f t="shared" si="22"/>
        <v/>
      </c>
      <c r="U106" s="78" t="str">
        <f t="shared" si="17"/>
        <v/>
      </c>
      <c r="V106" s="367" t="str">
        <f t="shared" si="12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3"/>
        <v/>
      </c>
      <c r="AE106" s="94"/>
      <c r="AF106" s="94"/>
      <c r="AG106" s="359" t="str">
        <f t="shared" si="18"/>
        <v/>
      </c>
      <c r="AH106" s="641" t="str">
        <f t="shared" si="19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0"/>
        <v/>
      </c>
      <c r="AL106" s="365" t="str">
        <f t="shared" si="21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4"/>
        <v/>
      </c>
      <c r="AO106" s="372"/>
      <c r="AP106" s="373"/>
    </row>
    <row r="107" spans="1:4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5"/>
        <v/>
      </c>
      <c r="R107" s="364" t="str">
        <f t="shared" si="16"/>
        <v/>
      </c>
      <c r="S107" s="655" t="str">
        <f>IFERROR(INDEX('G-1 All Habitats'!$B$3:$B$130,MATCH(R107,'G-1 All Habitats'!$A$3:$A$130,0)),"")</f>
        <v/>
      </c>
      <c r="T107" s="77" t="str">
        <f t="shared" si="22"/>
        <v/>
      </c>
      <c r="U107" s="78" t="str">
        <f t="shared" si="17"/>
        <v/>
      </c>
      <c r="V107" s="367" t="str">
        <f t="shared" si="12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3"/>
        <v/>
      </c>
      <c r="AE107" s="94"/>
      <c r="AF107" s="94"/>
      <c r="AG107" s="359" t="str">
        <f t="shared" si="18"/>
        <v/>
      </c>
      <c r="AH107" s="641" t="str">
        <f t="shared" si="19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0"/>
        <v/>
      </c>
      <c r="AL107" s="365" t="str">
        <f t="shared" si="21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4"/>
        <v/>
      </c>
      <c r="AO107" s="372"/>
      <c r="AP107" s="373"/>
    </row>
    <row r="108" spans="1:4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5"/>
        <v/>
      </c>
      <c r="R108" s="364" t="str">
        <f t="shared" si="16"/>
        <v/>
      </c>
      <c r="S108" s="655" t="str">
        <f>IFERROR(INDEX('G-1 All Habitats'!$B$3:$B$130,MATCH(R108,'G-1 All Habitats'!$A$3:$A$130,0)),"")</f>
        <v/>
      </c>
      <c r="T108" s="77" t="str">
        <f t="shared" si="22"/>
        <v/>
      </c>
      <c r="U108" s="78" t="str">
        <f t="shared" si="17"/>
        <v/>
      </c>
      <c r="V108" s="367" t="str">
        <f t="shared" si="12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3"/>
        <v/>
      </c>
      <c r="AE108" s="94"/>
      <c r="AF108" s="94"/>
      <c r="AG108" s="359" t="str">
        <f t="shared" si="18"/>
        <v/>
      </c>
      <c r="AH108" s="641" t="str">
        <f t="shared" si="19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0"/>
        <v/>
      </c>
      <c r="AL108" s="365" t="str">
        <f t="shared" si="21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4"/>
        <v/>
      </c>
      <c r="AO108" s="372"/>
      <c r="AP108" s="373"/>
    </row>
    <row r="109" spans="1:4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5"/>
        <v/>
      </c>
      <c r="R109" s="364" t="str">
        <f t="shared" si="16"/>
        <v/>
      </c>
      <c r="S109" s="655" t="str">
        <f>IFERROR(INDEX('G-1 All Habitats'!$B$3:$B$130,MATCH(R109,'G-1 All Habitats'!$A$3:$A$130,0)),"")</f>
        <v/>
      </c>
      <c r="T109" s="77" t="str">
        <f t="shared" si="22"/>
        <v/>
      </c>
      <c r="U109" s="78" t="str">
        <f t="shared" si="17"/>
        <v/>
      </c>
      <c r="V109" s="367" t="str">
        <f t="shared" si="12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3"/>
        <v/>
      </c>
      <c r="AE109" s="94"/>
      <c r="AF109" s="94"/>
      <c r="AG109" s="359" t="str">
        <f t="shared" si="18"/>
        <v/>
      </c>
      <c r="AH109" s="641" t="str">
        <f t="shared" si="19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0"/>
        <v/>
      </c>
      <c r="AL109" s="365" t="str">
        <f t="shared" si="21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4"/>
        <v/>
      </c>
      <c r="AO109" s="372"/>
      <c r="AP109" s="373"/>
    </row>
    <row r="110" spans="1:4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5"/>
        <v/>
      </c>
      <c r="R110" s="364" t="str">
        <f t="shared" si="16"/>
        <v/>
      </c>
      <c r="S110" s="655" t="str">
        <f>IFERROR(INDEX('G-1 All Habitats'!$B$3:$B$130,MATCH(R110,'G-1 All Habitats'!$A$3:$A$130,0)),"")</f>
        <v/>
      </c>
      <c r="T110" s="77" t="str">
        <f t="shared" si="22"/>
        <v/>
      </c>
      <c r="U110" s="78" t="str">
        <f t="shared" si="17"/>
        <v/>
      </c>
      <c r="V110" s="367" t="str">
        <f t="shared" si="12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3"/>
        <v/>
      </c>
      <c r="AE110" s="94"/>
      <c r="AF110" s="94"/>
      <c r="AG110" s="359" t="str">
        <f t="shared" si="18"/>
        <v/>
      </c>
      <c r="AH110" s="641" t="str">
        <f t="shared" si="19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0"/>
        <v/>
      </c>
      <c r="AL110" s="365" t="str">
        <f t="shared" si="21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4"/>
        <v/>
      </c>
      <c r="AO110" s="372"/>
      <c r="AP110" s="373"/>
    </row>
    <row r="111" spans="1:4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5"/>
        <v/>
      </c>
      <c r="R111" s="364" t="str">
        <f t="shared" si="16"/>
        <v/>
      </c>
      <c r="S111" s="655" t="str">
        <f>IFERROR(INDEX('G-1 All Habitats'!$B$3:$B$130,MATCH(R111,'G-1 All Habitats'!$A$3:$A$130,0)),"")</f>
        <v/>
      </c>
      <c r="T111" s="77" t="str">
        <f t="shared" si="22"/>
        <v/>
      </c>
      <c r="U111" s="78" t="str">
        <f t="shared" si="17"/>
        <v/>
      </c>
      <c r="V111" s="367" t="str">
        <f t="shared" si="12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3"/>
        <v/>
      </c>
      <c r="AE111" s="94"/>
      <c r="AF111" s="94"/>
      <c r="AG111" s="359" t="str">
        <f t="shared" si="18"/>
        <v/>
      </c>
      <c r="AH111" s="641" t="str">
        <f t="shared" si="19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0"/>
        <v/>
      </c>
      <c r="AL111" s="365" t="str">
        <f t="shared" si="21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4"/>
        <v/>
      </c>
      <c r="AO111" s="372"/>
      <c r="AP111" s="373"/>
    </row>
    <row r="112" spans="1:4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5"/>
        <v/>
      </c>
      <c r="R112" s="364" t="str">
        <f t="shared" si="16"/>
        <v/>
      </c>
      <c r="S112" s="655" t="str">
        <f>IFERROR(INDEX('G-1 All Habitats'!$B$3:$B$130,MATCH(R112,'G-1 All Habitats'!$A$3:$A$130,0)),"")</f>
        <v/>
      </c>
      <c r="T112" s="77" t="str">
        <f t="shared" si="22"/>
        <v/>
      </c>
      <c r="U112" s="78" t="str">
        <f t="shared" si="17"/>
        <v/>
      </c>
      <c r="V112" s="367" t="str">
        <f t="shared" si="12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3"/>
        <v/>
      </c>
      <c r="AE112" s="94"/>
      <c r="AF112" s="94"/>
      <c r="AG112" s="359" t="str">
        <f t="shared" si="18"/>
        <v/>
      </c>
      <c r="AH112" s="641" t="str">
        <f t="shared" si="19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0"/>
        <v/>
      </c>
      <c r="AL112" s="365" t="str">
        <f t="shared" si="21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4"/>
        <v/>
      </c>
      <c r="AO112" s="372"/>
      <c r="AP112" s="373"/>
    </row>
    <row r="113" spans="1:4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5"/>
        <v/>
      </c>
      <c r="R113" s="364" t="str">
        <f t="shared" si="16"/>
        <v/>
      </c>
      <c r="S113" s="655" t="str">
        <f>IFERROR(INDEX('G-1 All Habitats'!$B$3:$B$130,MATCH(R113,'G-1 All Habitats'!$A$3:$A$130,0)),"")</f>
        <v/>
      </c>
      <c r="T113" s="77" t="str">
        <f t="shared" si="22"/>
        <v/>
      </c>
      <c r="U113" s="78" t="str">
        <f t="shared" si="17"/>
        <v/>
      </c>
      <c r="V113" s="367" t="str">
        <f t="shared" si="12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3"/>
        <v/>
      </c>
      <c r="AE113" s="94"/>
      <c r="AF113" s="94"/>
      <c r="AG113" s="359" t="str">
        <f t="shared" si="18"/>
        <v/>
      </c>
      <c r="AH113" s="641" t="str">
        <f t="shared" si="19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0"/>
        <v/>
      </c>
      <c r="AL113" s="365" t="str">
        <f t="shared" si="21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4"/>
        <v/>
      </c>
      <c r="AO113" s="372"/>
      <c r="AP113" s="373"/>
    </row>
    <row r="114" spans="1:4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5"/>
        <v/>
      </c>
      <c r="R114" s="364" t="str">
        <f t="shared" si="16"/>
        <v/>
      </c>
      <c r="S114" s="655" t="str">
        <f>IFERROR(INDEX('G-1 All Habitats'!$B$3:$B$130,MATCH(R114,'G-1 All Habitats'!$A$3:$A$130,0)),"")</f>
        <v/>
      </c>
      <c r="T114" s="77" t="str">
        <f t="shared" si="22"/>
        <v/>
      </c>
      <c r="U114" s="78" t="str">
        <f t="shared" si="17"/>
        <v/>
      </c>
      <c r="V114" s="367" t="str">
        <f t="shared" si="12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3"/>
        <v/>
      </c>
      <c r="AE114" s="94"/>
      <c r="AF114" s="94"/>
      <c r="AG114" s="359" t="str">
        <f t="shared" si="18"/>
        <v/>
      </c>
      <c r="AH114" s="641" t="str">
        <f t="shared" si="19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0"/>
        <v/>
      </c>
      <c r="AL114" s="365" t="str">
        <f t="shared" si="21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4"/>
        <v/>
      </c>
      <c r="AO114" s="372"/>
      <c r="AP114" s="373"/>
    </row>
    <row r="115" spans="1:4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5"/>
        <v/>
      </c>
      <c r="R115" s="364" t="str">
        <f t="shared" si="16"/>
        <v/>
      </c>
      <c r="S115" s="655" t="str">
        <f>IFERROR(INDEX('G-1 All Habitats'!$B$3:$B$130,MATCH(R115,'G-1 All Habitats'!$A$3:$A$130,0)),"")</f>
        <v/>
      </c>
      <c r="T115" s="77" t="str">
        <f t="shared" si="22"/>
        <v/>
      </c>
      <c r="U115" s="78" t="str">
        <f t="shared" si="17"/>
        <v/>
      </c>
      <c r="V115" s="367" t="str">
        <f t="shared" si="12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3"/>
        <v/>
      </c>
      <c r="AE115" s="94"/>
      <c r="AF115" s="94"/>
      <c r="AG115" s="359" t="str">
        <f t="shared" si="18"/>
        <v/>
      </c>
      <c r="AH115" s="641" t="str">
        <f t="shared" si="19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0"/>
        <v/>
      </c>
      <c r="AL115" s="365" t="str">
        <f t="shared" si="21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4"/>
        <v/>
      </c>
      <c r="AO115" s="372"/>
      <c r="AP115" s="373"/>
    </row>
    <row r="116" spans="1:4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5"/>
        <v/>
      </c>
      <c r="R116" s="364" t="str">
        <f t="shared" si="16"/>
        <v/>
      </c>
      <c r="S116" s="655" t="str">
        <f>IFERROR(INDEX('G-1 All Habitats'!$B$3:$B$130,MATCH(R116,'G-1 All Habitats'!$A$3:$A$130,0)),"")</f>
        <v/>
      </c>
      <c r="T116" s="77" t="str">
        <f t="shared" si="22"/>
        <v/>
      </c>
      <c r="U116" s="78" t="str">
        <f t="shared" si="17"/>
        <v/>
      </c>
      <c r="V116" s="367" t="str">
        <f t="shared" si="12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3"/>
        <v/>
      </c>
      <c r="AE116" s="94"/>
      <c r="AF116" s="94"/>
      <c r="AG116" s="359" t="str">
        <f t="shared" si="18"/>
        <v/>
      </c>
      <c r="AH116" s="641" t="str">
        <f t="shared" si="19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0"/>
        <v/>
      </c>
      <c r="AL116" s="365" t="str">
        <f t="shared" si="21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4"/>
        <v/>
      </c>
      <c r="AO116" s="372"/>
      <c r="AP116" s="373"/>
    </row>
    <row r="117" spans="1:4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5"/>
        <v/>
      </c>
      <c r="R117" s="364" t="str">
        <f t="shared" si="16"/>
        <v/>
      </c>
      <c r="S117" s="655" t="str">
        <f>IFERROR(INDEX('G-1 All Habitats'!$B$3:$B$130,MATCH(R117,'G-1 All Habitats'!$A$3:$A$130,0)),"")</f>
        <v/>
      </c>
      <c r="T117" s="77" t="str">
        <f t="shared" si="22"/>
        <v/>
      </c>
      <c r="U117" s="78" t="str">
        <f t="shared" si="17"/>
        <v/>
      </c>
      <c r="V117" s="367" t="str">
        <f t="shared" si="12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3"/>
        <v/>
      </c>
      <c r="AE117" s="94"/>
      <c r="AF117" s="94"/>
      <c r="AG117" s="359" t="str">
        <f t="shared" si="18"/>
        <v/>
      </c>
      <c r="AH117" s="641" t="str">
        <f t="shared" si="19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0"/>
        <v/>
      </c>
      <c r="AL117" s="365" t="str">
        <f t="shared" si="21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4"/>
        <v/>
      </c>
      <c r="AO117" s="372"/>
      <c r="AP117" s="373"/>
    </row>
    <row r="118" spans="1:4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5"/>
        <v/>
      </c>
      <c r="R118" s="364" t="str">
        <f t="shared" si="16"/>
        <v/>
      </c>
      <c r="S118" s="655" t="str">
        <f>IFERROR(INDEX('G-1 All Habitats'!$B$3:$B$130,MATCH(R118,'G-1 All Habitats'!$A$3:$A$130,0)),"")</f>
        <v/>
      </c>
      <c r="T118" s="77" t="str">
        <f t="shared" si="22"/>
        <v/>
      </c>
      <c r="U118" s="78" t="str">
        <f t="shared" si="17"/>
        <v/>
      </c>
      <c r="V118" s="367" t="str">
        <f t="shared" si="12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3"/>
        <v/>
      </c>
      <c r="AE118" s="94"/>
      <c r="AF118" s="94"/>
      <c r="AG118" s="359" t="str">
        <f t="shared" si="18"/>
        <v/>
      </c>
      <c r="AH118" s="641" t="str">
        <f t="shared" si="19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0"/>
        <v/>
      </c>
      <c r="AL118" s="365" t="str">
        <f t="shared" si="21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4"/>
        <v/>
      </c>
      <c r="AO118" s="372"/>
      <c r="AP118" s="373"/>
    </row>
    <row r="119" spans="1:4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5"/>
        <v/>
      </c>
      <c r="R119" s="364" t="str">
        <f t="shared" si="16"/>
        <v/>
      </c>
      <c r="S119" s="655" t="str">
        <f>IFERROR(INDEX('G-1 All Habitats'!$B$3:$B$130,MATCH(R119,'G-1 All Habitats'!$A$3:$A$130,0)),"")</f>
        <v/>
      </c>
      <c r="T119" s="77" t="str">
        <f t="shared" si="22"/>
        <v/>
      </c>
      <c r="U119" s="78" t="str">
        <f t="shared" si="17"/>
        <v/>
      </c>
      <c r="V119" s="367" t="str">
        <f t="shared" si="12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3"/>
        <v/>
      </c>
      <c r="AE119" s="94"/>
      <c r="AF119" s="94"/>
      <c r="AG119" s="359" t="str">
        <f t="shared" si="18"/>
        <v/>
      </c>
      <c r="AH119" s="641" t="str">
        <f t="shared" si="19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0"/>
        <v/>
      </c>
      <c r="AL119" s="365" t="str">
        <f t="shared" si="21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4"/>
        <v/>
      </c>
      <c r="AO119" s="372"/>
      <c r="AP119" s="373"/>
    </row>
    <row r="120" spans="1:4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5"/>
        <v/>
      </c>
      <c r="R120" s="364" t="str">
        <f t="shared" si="16"/>
        <v/>
      </c>
      <c r="S120" s="655" t="str">
        <f>IFERROR(INDEX('G-1 All Habitats'!$B$3:$B$130,MATCH(R120,'G-1 All Habitats'!$A$3:$A$130,0)),"")</f>
        <v/>
      </c>
      <c r="T120" s="77" t="str">
        <f t="shared" si="22"/>
        <v/>
      </c>
      <c r="U120" s="78" t="str">
        <f t="shared" si="17"/>
        <v/>
      </c>
      <c r="V120" s="367" t="str">
        <f t="shared" si="12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3"/>
        <v/>
      </c>
      <c r="AE120" s="94"/>
      <c r="AF120" s="94"/>
      <c r="AG120" s="359" t="str">
        <f t="shared" si="18"/>
        <v/>
      </c>
      <c r="AH120" s="641" t="str">
        <f t="shared" si="19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0"/>
        <v/>
      </c>
      <c r="AL120" s="365" t="str">
        <f t="shared" si="21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4"/>
        <v/>
      </c>
      <c r="AO120" s="372"/>
      <c r="AP120" s="373"/>
    </row>
    <row r="121" spans="1:4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5"/>
        <v/>
      </c>
      <c r="R121" s="364" t="str">
        <f t="shared" si="16"/>
        <v/>
      </c>
      <c r="S121" s="655" t="str">
        <f>IFERROR(INDEX('G-1 All Habitats'!$B$3:$B$130,MATCH(R121,'G-1 All Habitats'!$A$3:$A$130,0)),"")</f>
        <v/>
      </c>
      <c r="T121" s="77" t="str">
        <f t="shared" si="22"/>
        <v/>
      </c>
      <c r="U121" s="78" t="str">
        <f t="shared" si="17"/>
        <v/>
      </c>
      <c r="V121" s="367" t="str">
        <f t="shared" si="12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3"/>
        <v/>
      </c>
      <c r="AE121" s="94"/>
      <c r="AF121" s="94"/>
      <c r="AG121" s="359" t="str">
        <f t="shared" si="18"/>
        <v/>
      </c>
      <c r="AH121" s="641" t="str">
        <f t="shared" si="19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0"/>
        <v/>
      </c>
      <c r="AL121" s="365" t="str">
        <f t="shared" si="21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4"/>
        <v/>
      </c>
      <c r="AO121" s="372"/>
      <c r="AP121" s="373"/>
    </row>
    <row r="122" spans="1:4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5"/>
        <v/>
      </c>
      <c r="R122" s="364" t="str">
        <f t="shared" si="16"/>
        <v/>
      </c>
      <c r="S122" s="655" t="str">
        <f>IFERROR(INDEX('G-1 All Habitats'!$B$3:$B$130,MATCH(R122,'G-1 All Habitats'!$A$3:$A$130,0)),"")</f>
        <v/>
      </c>
      <c r="T122" s="77" t="str">
        <f t="shared" si="22"/>
        <v/>
      </c>
      <c r="U122" s="78" t="str">
        <f t="shared" si="17"/>
        <v/>
      </c>
      <c r="V122" s="367" t="str">
        <f t="shared" si="12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3"/>
        <v/>
      </c>
      <c r="AE122" s="94"/>
      <c r="AF122" s="94"/>
      <c r="AG122" s="359" t="str">
        <f t="shared" si="18"/>
        <v/>
      </c>
      <c r="AH122" s="641" t="str">
        <f t="shared" si="19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0"/>
        <v/>
      </c>
      <c r="AL122" s="365" t="str">
        <f t="shared" si="21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4"/>
        <v/>
      </c>
      <c r="AO122" s="372"/>
      <c r="AP122" s="373"/>
    </row>
    <row r="123" spans="1:4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5"/>
        <v/>
      </c>
      <c r="R123" s="364" t="str">
        <f t="shared" si="16"/>
        <v/>
      </c>
      <c r="S123" s="655" t="str">
        <f>IFERROR(INDEX('G-1 All Habitats'!$B$3:$B$130,MATCH(R123,'G-1 All Habitats'!$A$3:$A$130,0)),"")</f>
        <v/>
      </c>
      <c r="T123" s="77" t="str">
        <f t="shared" si="22"/>
        <v/>
      </c>
      <c r="U123" s="78" t="str">
        <f t="shared" si="17"/>
        <v/>
      </c>
      <c r="V123" s="367" t="str">
        <f t="shared" si="12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3"/>
        <v/>
      </c>
      <c r="AE123" s="94"/>
      <c r="AF123" s="94"/>
      <c r="AG123" s="359" t="str">
        <f t="shared" si="18"/>
        <v/>
      </c>
      <c r="AH123" s="641" t="str">
        <f t="shared" si="19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0"/>
        <v/>
      </c>
      <c r="AL123" s="365" t="str">
        <f t="shared" si="21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4"/>
        <v/>
      </c>
      <c r="AO123" s="372"/>
      <c r="AP123" s="373"/>
    </row>
    <row r="124" spans="1:4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5"/>
        <v/>
      </c>
      <c r="R124" s="364" t="str">
        <f t="shared" si="16"/>
        <v/>
      </c>
      <c r="S124" s="655" t="str">
        <f>IFERROR(INDEX('G-1 All Habitats'!$B$3:$B$130,MATCH(R124,'G-1 All Habitats'!$A$3:$A$130,0)),"")</f>
        <v/>
      </c>
      <c r="T124" s="77" t="str">
        <f t="shared" si="22"/>
        <v/>
      </c>
      <c r="U124" s="78" t="str">
        <f t="shared" si="17"/>
        <v/>
      </c>
      <c r="V124" s="367" t="str">
        <f t="shared" si="12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3"/>
        <v/>
      </c>
      <c r="AE124" s="94"/>
      <c r="AF124" s="94"/>
      <c r="AG124" s="359" t="str">
        <f t="shared" si="18"/>
        <v/>
      </c>
      <c r="AH124" s="641" t="str">
        <f t="shared" si="19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0"/>
        <v/>
      </c>
      <c r="AL124" s="365" t="str">
        <f t="shared" si="21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4"/>
        <v/>
      </c>
      <c r="AO124" s="372"/>
      <c r="AP124" s="373"/>
    </row>
    <row r="125" spans="1:4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5"/>
        <v/>
      </c>
      <c r="R125" s="364" t="str">
        <f t="shared" si="16"/>
        <v/>
      </c>
      <c r="S125" s="655" t="str">
        <f>IFERROR(INDEX('G-1 All Habitats'!$B$3:$B$130,MATCH(R125,'G-1 All Habitats'!$A$3:$A$130,0)),"")</f>
        <v/>
      </c>
      <c r="T125" s="77" t="str">
        <f t="shared" si="22"/>
        <v/>
      </c>
      <c r="U125" s="78" t="str">
        <f t="shared" si="17"/>
        <v/>
      </c>
      <c r="V125" s="367" t="str">
        <f t="shared" si="12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3"/>
        <v/>
      </c>
      <c r="AE125" s="94"/>
      <c r="AF125" s="94"/>
      <c r="AG125" s="359" t="str">
        <f t="shared" si="18"/>
        <v/>
      </c>
      <c r="AH125" s="641" t="str">
        <f t="shared" si="19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0"/>
        <v/>
      </c>
      <c r="AL125" s="365" t="str">
        <f t="shared" si="21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4"/>
        <v/>
      </c>
      <c r="AO125" s="372"/>
      <c r="AP125" s="373"/>
    </row>
    <row r="126" spans="1:4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5"/>
        <v/>
      </c>
      <c r="R126" s="364" t="str">
        <f t="shared" si="16"/>
        <v/>
      </c>
      <c r="S126" s="655" t="str">
        <f>IFERROR(INDEX('G-1 All Habitats'!$B$3:$B$130,MATCH(R126,'G-1 All Habitats'!$A$3:$A$130,0)),"")</f>
        <v/>
      </c>
      <c r="T126" s="77" t="str">
        <f t="shared" si="22"/>
        <v/>
      </c>
      <c r="U126" s="78" t="str">
        <f t="shared" si="17"/>
        <v/>
      </c>
      <c r="V126" s="367" t="str">
        <f t="shared" si="12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3"/>
        <v/>
      </c>
      <c r="AE126" s="94"/>
      <c r="AF126" s="94"/>
      <c r="AG126" s="359" t="str">
        <f t="shared" si="18"/>
        <v/>
      </c>
      <c r="AH126" s="641" t="str">
        <f t="shared" si="19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0"/>
        <v/>
      </c>
      <c r="AL126" s="365" t="str">
        <f t="shared" si="21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4"/>
        <v/>
      </c>
      <c r="AO126" s="372"/>
      <c r="AP126" s="373"/>
    </row>
    <row r="127" spans="1:4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5"/>
        <v/>
      </c>
      <c r="R127" s="364" t="str">
        <f t="shared" si="16"/>
        <v/>
      </c>
      <c r="S127" s="655" t="str">
        <f>IFERROR(INDEX('G-1 All Habitats'!$B$3:$B$130,MATCH(R127,'G-1 All Habitats'!$A$3:$A$130,0)),"")</f>
        <v/>
      </c>
      <c r="T127" s="77" t="str">
        <f t="shared" si="22"/>
        <v/>
      </c>
      <c r="U127" s="78" t="str">
        <f t="shared" si="17"/>
        <v/>
      </c>
      <c r="V127" s="367" t="str">
        <f t="shared" si="12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3"/>
        <v/>
      </c>
      <c r="AE127" s="94"/>
      <c r="AF127" s="94"/>
      <c r="AG127" s="359" t="str">
        <f t="shared" si="18"/>
        <v/>
      </c>
      <c r="AH127" s="641" t="str">
        <f t="shared" si="19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0"/>
        <v/>
      </c>
      <c r="AL127" s="365" t="str">
        <f t="shared" si="21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4"/>
        <v/>
      </c>
      <c r="AO127" s="372"/>
      <c r="AP127" s="373"/>
    </row>
    <row r="128" spans="1:4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5"/>
        <v/>
      </c>
      <c r="R128" s="364" t="str">
        <f t="shared" si="16"/>
        <v/>
      </c>
      <c r="S128" s="655" t="str">
        <f>IFERROR(INDEX('G-1 All Habitats'!$B$3:$B$130,MATCH(R128,'G-1 All Habitats'!$A$3:$A$130,0)),"")</f>
        <v/>
      </c>
      <c r="T128" s="77" t="str">
        <f t="shared" si="22"/>
        <v/>
      </c>
      <c r="U128" s="78" t="str">
        <f t="shared" si="17"/>
        <v/>
      </c>
      <c r="V128" s="367" t="str">
        <f t="shared" si="12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3"/>
        <v/>
      </c>
      <c r="AE128" s="94"/>
      <c r="AF128" s="94"/>
      <c r="AG128" s="359" t="str">
        <f t="shared" si="18"/>
        <v/>
      </c>
      <c r="AH128" s="641" t="str">
        <f t="shared" si="19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0"/>
        <v/>
      </c>
      <c r="AL128" s="365" t="str">
        <f t="shared" si="21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4"/>
        <v/>
      </c>
      <c r="AO128" s="372"/>
      <c r="AP128" s="373"/>
    </row>
    <row r="129" spans="1:4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5"/>
        <v/>
      </c>
      <c r="R129" s="364" t="str">
        <f t="shared" si="16"/>
        <v/>
      </c>
      <c r="S129" s="655" t="str">
        <f>IFERROR(INDEX('G-1 All Habitats'!$B$3:$B$130,MATCH(R129,'G-1 All Habitats'!$A$3:$A$130,0)),"")</f>
        <v/>
      </c>
      <c r="T129" s="77" t="str">
        <f t="shared" si="22"/>
        <v/>
      </c>
      <c r="U129" s="78" t="str">
        <f t="shared" si="17"/>
        <v/>
      </c>
      <c r="V129" s="367" t="str">
        <f t="shared" si="12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3"/>
        <v/>
      </c>
      <c r="AE129" s="94"/>
      <c r="AF129" s="94"/>
      <c r="AG129" s="359" t="str">
        <f t="shared" si="18"/>
        <v/>
      </c>
      <c r="AH129" s="641" t="str">
        <f t="shared" si="19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0"/>
        <v/>
      </c>
      <c r="AL129" s="365" t="str">
        <f t="shared" si="21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4"/>
        <v/>
      </c>
      <c r="AO129" s="372"/>
      <c r="AP129" s="373"/>
    </row>
    <row r="130" spans="1:4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5"/>
        <v/>
      </c>
      <c r="R130" s="364" t="str">
        <f t="shared" si="16"/>
        <v/>
      </c>
      <c r="S130" s="655" t="str">
        <f>IFERROR(INDEX('G-1 All Habitats'!$B$3:$B$130,MATCH(R130,'G-1 All Habitats'!$A$3:$A$130,0)),"")</f>
        <v/>
      </c>
      <c r="T130" s="77" t="str">
        <f t="shared" si="22"/>
        <v/>
      </c>
      <c r="U130" s="78" t="str">
        <f t="shared" si="17"/>
        <v/>
      </c>
      <c r="V130" s="367" t="str">
        <f t="shared" si="12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3"/>
        <v/>
      </c>
      <c r="AE130" s="94"/>
      <c r="AF130" s="94"/>
      <c r="AG130" s="359" t="str">
        <f t="shared" si="18"/>
        <v/>
      </c>
      <c r="AH130" s="641" t="str">
        <f t="shared" si="19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0"/>
        <v/>
      </c>
      <c r="AL130" s="365" t="str">
        <f t="shared" si="21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4"/>
        <v/>
      </c>
      <c r="AO130" s="372"/>
      <c r="AP130" s="373"/>
    </row>
    <row r="131" spans="1:4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5"/>
        <v/>
      </c>
      <c r="R131" s="364" t="str">
        <f t="shared" si="16"/>
        <v/>
      </c>
      <c r="S131" s="655" t="str">
        <f>IFERROR(INDEX('G-1 All Habitats'!$B$3:$B$130,MATCH(R131,'G-1 All Habitats'!$A$3:$A$130,0)),"")</f>
        <v/>
      </c>
      <c r="T131" s="77" t="str">
        <f t="shared" si="22"/>
        <v/>
      </c>
      <c r="U131" s="78" t="str">
        <f t="shared" si="17"/>
        <v/>
      </c>
      <c r="V131" s="367" t="str">
        <f t="shared" si="12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3"/>
        <v/>
      </c>
      <c r="AE131" s="94"/>
      <c r="AF131" s="94"/>
      <c r="AG131" s="359" t="str">
        <f t="shared" si="18"/>
        <v/>
      </c>
      <c r="AH131" s="641" t="str">
        <f t="shared" si="19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0"/>
        <v/>
      </c>
      <c r="AL131" s="365" t="str">
        <f t="shared" si="21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4"/>
        <v/>
      </c>
      <c r="AO131" s="372"/>
      <c r="AP131" s="373"/>
    </row>
    <row r="132" spans="1:4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5"/>
        <v/>
      </c>
      <c r="R132" s="364" t="str">
        <f t="shared" si="16"/>
        <v/>
      </c>
      <c r="S132" s="655" t="str">
        <f>IFERROR(INDEX('G-1 All Habitats'!$B$3:$B$130,MATCH(R132,'G-1 All Habitats'!$A$3:$A$130,0)),"")</f>
        <v/>
      </c>
      <c r="T132" s="77" t="str">
        <f t="shared" si="22"/>
        <v/>
      </c>
      <c r="U132" s="78" t="str">
        <f t="shared" si="17"/>
        <v/>
      </c>
      <c r="V132" s="367" t="str">
        <f t="shared" si="12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3"/>
        <v/>
      </c>
      <c r="AE132" s="94"/>
      <c r="AF132" s="94"/>
      <c r="AG132" s="359" t="str">
        <f t="shared" si="18"/>
        <v/>
      </c>
      <c r="AH132" s="641" t="str">
        <f t="shared" si="19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0"/>
        <v/>
      </c>
      <c r="AL132" s="365" t="str">
        <f t="shared" si="21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4"/>
        <v/>
      </c>
      <c r="AO132" s="372"/>
      <c r="AP132" s="373"/>
    </row>
    <row r="133" spans="1:4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5"/>
        <v/>
      </c>
      <c r="R133" s="364" t="str">
        <f t="shared" si="16"/>
        <v/>
      </c>
      <c r="S133" s="655" t="str">
        <f>IFERROR(INDEX('G-1 All Habitats'!$B$3:$B$130,MATCH(R133,'G-1 All Habitats'!$A$3:$A$130,0)),"")</f>
        <v/>
      </c>
      <c r="T133" s="77" t="str">
        <f t="shared" si="22"/>
        <v/>
      </c>
      <c r="U133" s="78" t="str">
        <f t="shared" si="17"/>
        <v/>
      </c>
      <c r="V133" s="367" t="str">
        <f t="shared" si="12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3"/>
        <v/>
      </c>
      <c r="AE133" s="94"/>
      <c r="AF133" s="94"/>
      <c r="AG133" s="359" t="str">
        <f t="shared" si="18"/>
        <v/>
      </c>
      <c r="AH133" s="641" t="str">
        <f t="shared" si="19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0"/>
        <v/>
      </c>
      <c r="AL133" s="365" t="str">
        <f t="shared" si="21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4"/>
        <v/>
      </c>
      <c r="AO133" s="372"/>
      <c r="AP133" s="373"/>
    </row>
    <row r="134" spans="1:4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5"/>
        <v/>
      </c>
      <c r="R134" s="364" t="str">
        <f t="shared" si="16"/>
        <v/>
      </c>
      <c r="S134" s="655" t="str">
        <f>IFERROR(INDEX('G-1 All Habitats'!$B$3:$B$130,MATCH(R134,'G-1 All Habitats'!$A$3:$A$130,0)),"")</f>
        <v/>
      </c>
      <c r="T134" s="77" t="str">
        <f t="shared" si="22"/>
        <v/>
      </c>
      <c r="U134" s="78" t="str">
        <f t="shared" si="17"/>
        <v/>
      </c>
      <c r="V134" s="367" t="str">
        <f t="shared" si="12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3"/>
        <v/>
      </c>
      <c r="AE134" s="94"/>
      <c r="AF134" s="94"/>
      <c r="AG134" s="359" t="str">
        <f t="shared" si="18"/>
        <v/>
      </c>
      <c r="AH134" s="641" t="str">
        <f t="shared" si="19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0"/>
        <v/>
      </c>
      <c r="AL134" s="365" t="str">
        <f t="shared" si="21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4"/>
        <v/>
      </c>
      <c r="AO134" s="372"/>
      <c r="AP134" s="373"/>
    </row>
    <row r="135" spans="1:4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5"/>
        <v/>
      </c>
      <c r="R135" s="364" t="str">
        <f t="shared" si="16"/>
        <v/>
      </c>
      <c r="S135" s="655" t="str">
        <f>IFERROR(INDEX('G-1 All Habitats'!$B$3:$B$130,MATCH(R135,'G-1 All Habitats'!$A$3:$A$130,0)),"")</f>
        <v/>
      </c>
      <c r="T135" s="77" t="str">
        <f t="shared" si="22"/>
        <v/>
      </c>
      <c r="U135" s="78" t="str">
        <f t="shared" si="17"/>
        <v/>
      </c>
      <c r="V135" s="367" t="str">
        <f t="shared" si="12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3"/>
        <v/>
      </c>
      <c r="AE135" s="94"/>
      <c r="AF135" s="94"/>
      <c r="AG135" s="359" t="str">
        <f t="shared" si="18"/>
        <v/>
      </c>
      <c r="AH135" s="641" t="str">
        <f t="shared" si="19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0"/>
        <v/>
      </c>
      <c r="AL135" s="365" t="str">
        <f t="shared" si="21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4"/>
        <v/>
      </c>
      <c r="AO135" s="372"/>
      <c r="AP135" s="373"/>
    </row>
    <row r="136" spans="1:4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5"/>
        <v/>
      </c>
      <c r="R136" s="364" t="str">
        <f t="shared" si="16"/>
        <v/>
      </c>
      <c r="S136" s="655" t="str">
        <f>IFERROR(INDEX('G-1 All Habitats'!$B$3:$B$130,MATCH(R136,'G-1 All Habitats'!$A$3:$A$130,0)),"")</f>
        <v/>
      </c>
      <c r="T136" s="77" t="str">
        <f t="shared" si="22"/>
        <v/>
      </c>
      <c r="U136" s="78" t="str">
        <f t="shared" si="17"/>
        <v/>
      </c>
      <c r="V136" s="367" t="str">
        <f t="shared" si="12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3"/>
        <v/>
      </c>
      <c r="AE136" s="94"/>
      <c r="AF136" s="94"/>
      <c r="AG136" s="359" t="str">
        <f t="shared" si="18"/>
        <v/>
      </c>
      <c r="AH136" s="641" t="str">
        <f t="shared" si="19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0"/>
        <v/>
      </c>
      <c r="AL136" s="365" t="str">
        <f t="shared" si="21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4"/>
        <v/>
      </c>
      <c r="AO136" s="372"/>
      <c r="AP136" s="373"/>
    </row>
    <row r="137" spans="1:4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5"/>
        <v/>
      </c>
      <c r="R137" s="364" t="str">
        <f t="shared" si="16"/>
        <v/>
      </c>
      <c r="S137" s="655" t="str">
        <f>IFERROR(INDEX('G-1 All Habitats'!$B$3:$B$130,MATCH(R137,'G-1 All Habitats'!$A$3:$A$130,0)),"")</f>
        <v/>
      </c>
      <c r="T137" s="77" t="str">
        <f t="shared" si="22"/>
        <v/>
      </c>
      <c r="U137" s="78" t="str">
        <f t="shared" si="17"/>
        <v/>
      </c>
      <c r="V137" s="367" t="str">
        <f t="shared" si="12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3"/>
        <v/>
      </c>
      <c r="AE137" s="94"/>
      <c r="AF137" s="94"/>
      <c r="AG137" s="359" t="str">
        <f t="shared" si="18"/>
        <v/>
      </c>
      <c r="AH137" s="641" t="str">
        <f t="shared" si="19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0"/>
        <v/>
      </c>
      <c r="AL137" s="365" t="str">
        <f t="shared" si="21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4"/>
        <v/>
      </c>
      <c r="AO137" s="372"/>
      <c r="AP137" s="373"/>
    </row>
    <row r="138" spans="1:4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5"/>
        <v/>
      </c>
      <c r="R138" s="364" t="str">
        <f t="shared" si="16"/>
        <v/>
      </c>
      <c r="S138" s="655" t="str">
        <f>IFERROR(INDEX('G-1 All Habitats'!$B$3:$B$130,MATCH(R138,'G-1 All Habitats'!$A$3:$A$130,0)),"")</f>
        <v/>
      </c>
      <c r="T138" s="77" t="str">
        <f t="shared" si="22"/>
        <v/>
      </c>
      <c r="U138" s="78" t="str">
        <f t="shared" si="17"/>
        <v/>
      </c>
      <c r="V138" s="367" t="str">
        <f t="shared" si="12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3"/>
        <v/>
      </c>
      <c r="AE138" s="94"/>
      <c r="AF138" s="94"/>
      <c r="AG138" s="359" t="str">
        <f t="shared" si="18"/>
        <v/>
      </c>
      <c r="AH138" s="641" t="str">
        <f t="shared" si="19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0"/>
        <v/>
      </c>
      <c r="AL138" s="365" t="str">
        <f t="shared" si="21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4"/>
        <v/>
      </c>
      <c r="AO138" s="372"/>
      <c r="AP138" s="373"/>
    </row>
    <row r="139" spans="1:4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5"/>
        <v/>
      </c>
      <c r="R139" s="364" t="str">
        <f t="shared" si="16"/>
        <v/>
      </c>
      <c r="S139" s="655" t="str">
        <f>IFERROR(INDEX('G-1 All Habitats'!$B$3:$B$130,MATCH(R139,'G-1 All Habitats'!$A$3:$A$130,0)),"")</f>
        <v/>
      </c>
      <c r="T139" s="77" t="str">
        <f t="shared" si="22"/>
        <v/>
      </c>
      <c r="U139" s="78" t="str">
        <f t="shared" si="17"/>
        <v/>
      </c>
      <c r="V139" s="367" t="str">
        <f t="shared" si="12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3"/>
        <v/>
      </c>
      <c r="AE139" s="94"/>
      <c r="AF139" s="94"/>
      <c r="AG139" s="359" t="str">
        <f t="shared" si="18"/>
        <v/>
      </c>
      <c r="AH139" s="641" t="str">
        <f t="shared" si="19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0"/>
        <v/>
      </c>
      <c r="AL139" s="365" t="str">
        <f t="shared" si="21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4"/>
        <v/>
      </c>
      <c r="AO139" s="372"/>
      <c r="AP139" s="373"/>
    </row>
    <row r="140" spans="1:4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5"/>
        <v/>
      </c>
      <c r="R140" s="364" t="str">
        <f t="shared" si="16"/>
        <v/>
      </c>
      <c r="S140" s="655" t="str">
        <f>IFERROR(INDEX('G-1 All Habitats'!$B$3:$B$130,MATCH(R140,'G-1 All Habitats'!$A$3:$A$130,0)),"")</f>
        <v/>
      </c>
      <c r="T140" s="77" t="str">
        <f t="shared" si="22"/>
        <v/>
      </c>
      <c r="U140" s="78" t="str">
        <f t="shared" si="17"/>
        <v/>
      </c>
      <c r="V140" s="367" t="str">
        <f t="shared" ref="V140:V203" si="23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4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18"/>
        <v/>
      </c>
      <c r="AH140" s="641" t="str">
        <f t="shared" si="19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0"/>
        <v/>
      </c>
      <c r="AL140" s="365" t="str">
        <f t="shared" si="21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5">IFERROR(((((V140*X140*Z140)-(V140*I140*K140))*(AM140*AI140))+(V140*I140*K140))*(AC140),"")</f>
        <v/>
      </c>
      <c r="AO140" s="372"/>
      <c r="AP140" s="373"/>
    </row>
    <row r="141" spans="1:4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6">A141</f>
        <v/>
      </c>
      <c r="R141" s="364" t="str">
        <f t="shared" ref="R141:R204" si="27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2"/>
        <v/>
      </c>
      <c r="U141" s="78" t="str">
        <f t="shared" ref="U141:U204" si="28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3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4"/>
        <v/>
      </c>
      <c r="AE141" s="94"/>
      <c r="AF141" s="94"/>
      <c r="AG141" s="359" t="str">
        <f t="shared" ref="AG141:AG204" si="29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0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1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5"/>
        <v/>
      </c>
      <c r="AO141" s="372"/>
      <c r="AP141" s="373"/>
    </row>
    <row r="142" spans="1:4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6"/>
        <v/>
      </c>
      <c r="R142" s="364" t="str">
        <f t="shared" si="27"/>
        <v/>
      </c>
      <c r="S142" s="655" t="str">
        <f>IFERROR(INDEX('G-1 All Habitats'!$B$3:$B$130,MATCH(R142,'G-1 All Habitats'!$A$3:$A$130,0)),"")</f>
        <v/>
      </c>
      <c r="T142" s="77" t="str">
        <f t="shared" si="22"/>
        <v/>
      </c>
      <c r="U142" s="78" t="str">
        <f t="shared" si="28"/>
        <v/>
      </c>
      <c r="V142" s="367" t="str">
        <f t="shared" si="23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4"/>
        <v/>
      </c>
      <c r="AE142" s="94"/>
      <c r="AF142" s="94"/>
      <c r="AG142" s="359" t="str">
        <f t="shared" si="29"/>
        <v/>
      </c>
      <c r="AH142" s="641" t="str">
        <f t="shared" si="30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1"/>
        <v/>
      </c>
      <c r="AL142" s="365" t="str">
        <f t="shared" si="32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5"/>
        <v/>
      </c>
      <c r="AO142" s="372"/>
      <c r="AP142" s="373"/>
    </row>
    <row r="143" spans="1:4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6"/>
        <v/>
      </c>
      <c r="R143" s="364" t="str">
        <f t="shared" si="27"/>
        <v/>
      </c>
      <c r="S143" s="655" t="str">
        <f>IFERROR(INDEX('G-1 All Habitats'!$B$3:$B$130,MATCH(R143,'G-1 All Habitats'!$A$3:$A$130,0)),"")</f>
        <v/>
      </c>
      <c r="T143" s="77" t="str">
        <f t="shared" si="22"/>
        <v/>
      </c>
      <c r="U143" s="78" t="str">
        <f t="shared" si="28"/>
        <v/>
      </c>
      <c r="V143" s="367" t="str">
        <f t="shared" si="23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4"/>
        <v/>
      </c>
      <c r="AE143" s="94"/>
      <c r="AF143" s="94"/>
      <c r="AG143" s="359" t="str">
        <f t="shared" si="29"/>
        <v/>
      </c>
      <c r="AH143" s="641" t="str">
        <f t="shared" si="30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1"/>
        <v/>
      </c>
      <c r="AL143" s="365" t="str">
        <f t="shared" si="32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5"/>
        <v/>
      </c>
      <c r="AO143" s="372"/>
      <c r="AP143" s="373"/>
    </row>
    <row r="144" spans="1:4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6"/>
        <v/>
      </c>
      <c r="R144" s="364" t="str">
        <f t="shared" si="27"/>
        <v/>
      </c>
      <c r="S144" s="655" t="str">
        <f>IFERROR(INDEX('G-1 All Habitats'!$B$3:$B$130,MATCH(R144,'G-1 All Habitats'!$A$3:$A$130,0)),"")</f>
        <v/>
      </c>
      <c r="T144" s="77" t="str">
        <f t="shared" ref="T144:T207" si="33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8"/>
        <v/>
      </c>
      <c r="V144" s="367" t="str">
        <f t="shared" si="23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4"/>
        <v/>
      </c>
      <c r="AE144" s="94"/>
      <c r="AF144" s="94"/>
      <c r="AG144" s="359" t="str">
        <f t="shared" si="29"/>
        <v/>
      </c>
      <c r="AH144" s="641" t="str">
        <f t="shared" si="30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1"/>
        <v/>
      </c>
      <c r="AL144" s="365" t="str">
        <f t="shared" si="32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5"/>
        <v/>
      </c>
      <c r="AO144" s="372"/>
      <c r="AP144" s="373"/>
    </row>
    <row r="145" spans="1:4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6"/>
        <v/>
      </c>
      <c r="R145" s="364" t="str">
        <f t="shared" si="27"/>
        <v/>
      </c>
      <c r="S145" s="655" t="str">
        <f>IFERROR(INDEX('G-1 All Habitats'!$B$3:$B$130,MATCH(R145,'G-1 All Habitats'!$A$3:$A$130,0)),"")</f>
        <v/>
      </c>
      <c r="T145" s="77" t="str">
        <f t="shared" si="33"/>
        <v/>
      </c>
      <c r="U145" s="78" t="str">
        <f t="shared" si="28"/>
        <v/>
      </c>
      <c r="V145" s="367" t="str">
        <f t="shared" si="23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4"/>
        <v/>
      </c>
      <c r="AE145" s="94"/>
      <c r="AF145" s="94"/>
      <c r="AG145" s="359" t="str">
        <f t="shared" si="29"/>
        <v/>
      </c>
      <c r="AH145" s="641" t="str">
        <f t="shared" si="30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1"/>
        <v/>
      </c>
      <c r="AL145" s="365" t="str">
        <f t="shared" si="32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5"/>
        <v/>
      </c>
      <c r="AO145" s="372"/>
      <c r="AP145" s="373"/>
    </row>
    <row r="146" spans="1:4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6"/>
        <v/>
      </c>
      <c r="R146" s="364" t="str">
        <f t="shared" si="27"/>
        <v/>
      </c>
      <c r="S146" s="655" t="str">
        <f>IFERROR(INDEX('G-1 All Habitats'!$B$3:$B$130,MATCH(R146,'G-1 All Habitats'!$A$3:$A$130,0)),"")</f>
        <v/>
      </c>
      <c r="T146" s="77" t="str">
        <f t="shared" si="33"/>
        <v/>
      </c>
      <c r="U146" s="78" t="str">
        <f t="shared" si="28"/>
        <v/>
      </c>
      <c r="V146" s="367" t="str">
        <f t="shared" si="23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4"/>
        <v/>
      </c>
      <c r="AE146" s="94"/>
      <c r="AF146" s="94"/>
      <c r="AG146" s="359" t="str">
        <f t="shared" si="29"/>
        <v/>
      </c>
      <c r="AH146" s="641" t="str">
        <f t="shared" si="30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1"/>
        <v/>
      </c>
      <c r="AL146" s="365" t="str">
        <f t="shared" si="32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5"/>
        <v/>
      </c>
      <c r="AO146" s="372"/>
      <c r="AP146" s="373"/>
    </row>
    <row r="147" spans="1:4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6"/>
        <v/>
      </c>
      <c r="R147" s="364" t="str">
        <f t="shared" si="27"/>
        <v/>
      </c>
      <c r="S147" s="655" t="str">
        <f>IFERROR(INDEX('G-1 All Habitats'!$B$3:$B$130,MATCH(R147,'G-1 All Habitats'!$A$3:$A$130,0)),"")</f>
        <v/>
      </c>
      <c r="T147" s="77" t="str">
        <f t="shared" si="33"/>
        <v/>
      </c>
      <c r="U147" s="78" t="str">
        <f t="shared" si="28"/>
        <v/>
      </c>
      <c r="V147" s="367" t="str">
        <f t="shared" si="23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4"/>
        <v/>
      </c>
      <c r="AE147" s="94"/>
      <c r="AF147" s="94"/>
      <c r="AG147" s="359" t="str">
        <f t="shared" si="29"/>
        <v/>
      </c>
      <c r="AH147" s="641" t="str">
        <f t="shared" si="30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1"/>
        <v/>
      </c>
      <c r="AL147" s="365" t="str">
        <f t="shared" si="32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5"/>
        <v/>
      </c>
      <c r="AO147" s="372"/>
      <c r="AP147" s="373"/>
    </row>
    <row r="148" spans="1:4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6"/>
        <v/>
      </c>
      <c r="R148" s="364" t="str">
        <f t="shared" si="27"/>
        <v/>
      </c>
      <c r="S148" s="655" t="str">
        <f>IFERROR(INDEX('G-1 All Habitats'!$B$3:$B$130,MATCH(R148,'G-1 All Habitats'!$A$3:$A$130,0)),"")</f>
        <v/>
      </c>
      <c r="T148" s="77" t="str">
        <f t="shared" si="33"/>
        <v/>
      </c>
      <c r="U148" s="78" t="str">
        <f t="shared" si="28"/>
        <v/>
      </c>
      <c r="V148" s="367" t="str">
        <f t="shared" si="23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4"/>
        <v/>
      </c>
      <c r="AE148" s="94"/>
      <c r="AF148" s="94"/>
      <c r="AG148" s="359" t="str">
        <f t="shared" si="29"/>
        <v/>
      </c>
      <c r="AH148" s="641" t="str">
        <f t="shared" si="30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1"/>
        <v/>
      </c>
      <c r="AL148" s="365" t="str">
        <f t="shared" si="32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5"/>
        <v/>
      </c>
      <c r="AO148" s="372"/>
      <c r="AP148" s="373"/>
    </row>
    <row r="149" spans="1:4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6"/>
        <v/>
      </c>
      <c r="R149" s="364" t="str">
        <f t="shared" si="27"/>
        <v/>
      </c>
      <c r="S149" s="655" t="str">
        <f>IFERROR(INDEX('G-1 All Habitats'!$B$3:$B$130,MATCH(R149,'G-1 All Habitats'!$A$3:$A$130,0)),"")</f>
        <v/>
      </c>
      <c r="T149" s="77" t="str">
        <f t="shared" si="33"/>
        <v/>
      </c>
      <c r="U149" s="78" t="str">
        <f t="shared" si="28"/>
        <v/>
      </c>
      <c r="V149" s="367" t="str">
        <f t="shared" si="23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4"/>
        <v/>
      </c>
      <c r="AE149" s="94"/>
      <c r="AF149" s="94"/>
      <c r="AG149" s="359" t="str">
        <f t="shared" si="29"/>
        <v/>
      </c>
      <c r="AH149" s="641" t="str">
        <f t="shared" si="30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1"/>
        <v/>
      </c>
      <c r="AL149" s="365" t="str">
        <f t="shared" si="32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5"/>
        <v/>
      </c>
      <c r="AO149" s="372"/>
      <c r="AP149" s="373"/>
    </row>
    <row r="150" spans="1:4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6"/>
        <v/>
      </c>
      <c r="R150" s="364" t="str">
        <f t="shared" si="27"/>
        <v/>
      </c>
      <c r="S150" s="655" t="str">
        <f>IFERROR(INDEX('G-1 All Habitats'!$B$3:$B$130,MATCH(R150,'G-1 All Habitats'!$A$3:$A$130,0)),"")</f>
        <v/>
      </c>
      <c r="T150" s="77" t="str">
        <f t="shared" si="33"/>
        <v/>
      </c>
      <c r="U150" s="78" t="str">
        <f t="shared" si="28"/>
        <v/>
      </c>
      <c r="V150" s="367" t="str">
        <f t="shared" si="23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4"/>
        <v/>
      </c>
      <c r="AE150" s="94"/>
      <c r="AF150" s="94"/>
      <c r="AG150" s="359" t="str">
        <f t="shared" si="29"/>
        <v/>
      </c>
      <c r="AH150" s="641" t="str">
        <f t="shared" si="30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1"/>
        <v/>
      </c>
      <c r="AL150" s="365" t="str">
        <f t="shared" si="32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5"/>
        <v/>
      </c>
      <c r="AO150" s="372"/>
      <c r="AP150" s="373"/>
    </row>
    <row r="151" spans="1:4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6"/>
        <v/>
      </c>
      <c r="R151" s="364" t="str">
        <f t="shared" si="27"/>
        <v/>
      </c>
      <c r="S151" s="655" t="str">
        <f>IFERROR(INDEX('G-1 All Habitats'!$B$3:$B$130,MATCH(R151,'G-1 All Habitats'!$A$3:$A$130,0)),"")</f>
        <v/>
      </c>
      <c r="T151" s="77" t="str">
        <f t="shared" si="33"/>
        <v/>
      </c>
      <c r="U151" s="78" t="str">
        <f t="shared" si="28"/>
        <v/>
      </c>
      <c r="V151" s="367" t="str">
        <f t="shared" si="23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4"/>
        <v/>
      </c>
      <c r="AE151" s="94"/>
      <c r="AF151" s="94"/>
      <c r="AG151" s="359" t="str">
        <f t="shared" si="29"/>
        <v/>
      </c>
      <c r="AH151" s="641" t="str">
        <f t="shared" si="30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1"/>
        <v/>
      </c>
      <c r="AL151" s="365" t="str">
        <f t="shared" si="32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5"/>
        <v/>
      </c>
      <c r="AO151" s="372"/>
      <c r="AP151" s="373"/>
    </row>
    <row r="152" spans="1:4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6"/>
        <v/>
      </c>
      <c r="R152" s="364" t="str">
        <f t="shared" si="27"/>
        <v/>
      </c>
      <c r="S152" s="655" t="str">
        <f>IFERROR(INDEX('G-1 All Habitats'!$B$3:$B$130,MATCH(R152,'G-1 All Habitats'!$A$3:$A$130,0)),"")</f>
        <v/>
      </c>
      <c r="T152" s="77" t="str">
        <f t="shared" si="33"/>
        <v/>
      </c>
      <c r="U152" s="78" t="str">
        <f t="shared" si="28"/>
        <v/>
      </c>
      <c r="V152" s="367" t="str">
        <f t="shared" si="23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4"/>
        <v/>
      </c>
      <c r="AE152" s="94"/>
      <c r="AF152" s="94"/>
      <c r="AG152" s="359" t="str">
        <f t="shared" si="29"/>
        <v/>
      </c>
      <c r="AH152" s="641" t="str">
        <f t="shared" si="30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1"/>
        <v/>
      </c>
      <c r="AL152" s="365" t="str">
        <f t="shared" si="32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5"/>
        <v/>
      </c>
      <c r="AO152" s="372"/>
      <c r="AP152" s="373"/>
    </row>
    <row r="153" spans="1:4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6"/>
        <v/>
      </c>
      <c r="R153" s="364" t="str">
        <f t="shared" si="27"/>
        <v/>
      </c>
      <c r="S153" s="655" t="str">
        <f>IFERROR(INDEX('G-1 All Habitats'!$B$3:$B$130,MATCH(R153,'G-1 All Habitats'!$A$3:$A$130,0)),"")</f>
        <v/>
      </c>
      <c r="T153" s="77" t="str">
        <f t="shared" si="33"/>
        <v/>
      </c>
      <c r="U153" s="78" t="str">
        <f t="shared" si="28"/>
        <v/>
      </c>
      <c r="V153" s="367" t="str">
        <f t="shared" si="23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4"/>
        <v/>
      </c>
      <c r="AE153" s="94"/>
      <c r="AF153" s="94"/>
      <c r="AG153" s="359" t="str">
        <f t="shared" si="29"/>
        <v/>
      </c>
      <c r="AH153" s="641" t="str">
        <f t="shared" si="30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1"/>
        <v/>
      </c>
      <c r="AL153" s="365" t="str">
        <f t="shared" si="32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5"/>
        <v/>
      </c>
      <c r="AO153" s="372"/>
      <c r="AP153" s="373"/>
    </row>
    <row r="154" spans="1:4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6"/>
        <v/>
      </c>
      <c r="R154" s="364" t="str">
        <f t="shared" si="27"/>
        <v/>
      </c>
      <c r="S154" s="655" t="str">
        <f>IFERROR(INDEX('G-1 All Habitats'!$B$3:$B$130,MATCH(R154,'G-1 All Habitats'!$A$3:$A$130,0)),"")</f>
        <v/>
      </c>
      <c r="T154" s="77" t="str">
        <f t="shared" si="33"/>
        <v/>
      </c>
      <c r="U154" s="78" t="str">
        <f t="shared" si="28"/>
        <v/>
      </c>
      <c r="V154" s="367" t="str">
        <f t="shared" si="23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4"/>
        <v/>
      </c>
      <c r="AE154" s="94"/>
      <c r="AF154" s="94"/>
      <c r="AG154" s="359" t="str">
        <f t="shared" si="29"/>
        <v/>
      </c>
      <c r="AH154" s="641" t="str">
        <f t="shared" si="30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1"/>
        <v/>
      </c>
      <c r="AL154" s="365" t="str">
        <f t="shared" si="32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5"/>
        <v/>
      </c>
      <c r="AO154" s="372"/>
      <c r="AP154" s="373"/>
    </row>
    <row r="155" spans="1:4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6"/>
        <v/>
      </c>
      <c r="R155" s="364" t="str">
        <f t="shared" si="27"/>
        <v/>
      </c>
      <c r="S155" s="655" t="str">
        <f>IFERROR(INDEX('G-1 All Habitats'!$B$3:$B$130,MATCH(R155,'G-1 All Habitats'!$A$3:$A$130,0)),"")</f>
        <v/>
      </c>
      <c r="T155" s="77" t="str">
        <f t="shared" si="33"/>
        <v/>
      </c>
      <c r="U155" s="78" t="str">
        <f t="shared" si="28"/>
        <v/>
      </c>
      <c r="V155" s="367" t="str">
        <f t="shared" si="23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4"/>
        <v/>
      </c>
      <c r="AE155" s="94"/>
      <c r="AF155" s="94"/>
      <c r="AG155" s="359" t="str">
        <f t="shared" si="29"/>
        <v/>
      </c>
      <c r="AH155" s="641" t="str">
        <f t="shared" si="30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1"/>
        <v/>
      </c>
      <c r="AL155" s="365" t="str">
        <f t="shared" si="32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5"/>
        <v/>
      </c>
      <c r="AO155" s="372"/>
      <c r="AP155" s="373"/>
    </row>
    <row r="156" spans="1:4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6"/>
        <v/>
      </c>
      <c r="R156" s="364" t="str">
        <f t="shared" si="27"/>
        <v/>
      </c>
      <c r="S156" s="655" t="str">
        <f>IFERROR(INDEX('G-1 All Habitats'!$B$3:$B$130,MATCH(R156,'G-1 All Habitats'!$A$3:$A$130,0)),"")</f>
        <v/>
      </c>
      <c r="T156" s="77" t="str">
        <f t="shared" si="33"/>
        <v/>
      </c>
      <c r="U156" s="78" t="str">
        <f t="shared" si="28"/>
        <v/>
      </c>
      <c r="V156" s="367" t="str">
        <f t="shared" si="23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4"/>
        <v/>
      </c>
      <c r="AE156" s="94"/>
      <c r="AF156" s="94"/>
      <c r="AG156" s="359" t="str">
        <f t="shared" si="29"/>
        <v/>
      </c>
      <c r="AH156" s="641" t="str">
        <f t="shared" si="30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1"/>
        <v/>
      </c>
      <c r="AL156" s="365" t="str">
        <f t="shared" si="32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5"/>
        <v/>
      </c>
      <c r="AO156" s="372"/>
      <c r="AP156" s="373"/>
    </row>
    <row r="157" spans="1:4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6"/>
        <v/>
      </c>
      <c r="R157" s="364" t="str">
        <f t="shared" si="27"/>
        <v/>
      </c>
      <c r="S157" s="655" t="str">
        <f>IFERROR(INDEX('G-1 All Habitats'!$B$3:$B$130,MATCH(R157,'G-1 All Habitats'!$A$3:$A$130,0)),"")</f>
        <v/>
      </c>
      <c r="T157" s="77" t="str">
        <f t="shared" si="33"/>
        <v/>
      </c>
      <c r="U157" s="78" t="str">
        <f t="shared" si="28"/>
        <v/>
      </c>
      <c r="V157" s="367" t="str">
        <f t="shared" si="23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4"/>
        <v/>
      </c>
      <c r="AE157" s="94"/>
      <c r="AF157" s="94"/>
      <c r="AG157" s="359" t="str">
        <f t="shared" si="29"/>
        <v/>
      </c>
      <c r="AH157" s="641" t="str">
        <f t="shared" si="30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1"/>
        <v/>
      </c>
      <c r="AL157" s="365" t="str">
        <f t="shared" si="32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5"/>
        <v/>
      </c>
      <c r="AO157" s="372"/>
      <c r="AP157" s="373"/>
    </row>
    <row r="158" spans="1:4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6"/>
        <v/>
      </c>
      <c r="R158" s="364" t="str">
        <f t="shared" si="27"/>
        <v/>
      </c>
      <c r="S158" s="655" t="str">
        <f>IFERROR(INDEX('G-1 All Habitats'!$B$3:$B$130,MATCH(R158,'G-1 All Habitats'!$A$3:$A$130,0)),"")</f>
        <v/>
      </c>
      <c r="T158" s="77" t="str">
        <f t="shared" si="33"/>
        <v/>
      </c>
      <c r="U158" s="78" t="str">
        <f t="shared" si="28"/>
        <v/>
      </c>
      <c r="V158" s="367" t="str">
        <f t="shared" si="23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4"/>
        <v/>
      </c>
      <c r="AE158" s="94"/>
      <c r="AF158" s="94"/>
      <c r="AG158" s="359" t="str">
        <f t="shared" si="29"/>
        <v/>
      </c>
      <c r="AH158" s="641" t="str">
        <f t="shared" si="30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1"/>
        <v/>
      </c>
      <c r="AL158" s="365" t="str">
        <f t="shared" si="32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5"/>
        <v/>
      </c>
      <c r="AO158" s="372"/>
      <c r="AP158" s="373"/>
    </row>
    <row r="159" spans="1:4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6"/>
        <v/>
      </c>
      <c r="R159" s="364" t="str">
        <f t="shared" si="27"/>
        <v/>
      </c>
      <c r="S159" s="655" t="str">
        <f>IFERROR(INDEX('G-1 All Habitats'!$B$3:$B$130,MATCH(R159,'G-1 All Habitats'!$A$3:$A$130,0)),"")</f>
        <v/>
      </c>
      <c r="T159" s="77" t="str">
        <f t="shared" si="33"/>
        <v/>
      </c>
      <c r="U159" s="78" t="str">
        <f t="shared" si="28"/>
        <v/>
      </c>
      <c r="V159" s="367" t="str">
        <f t="shared" si="23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4"/>
        <v/>
      </c>
      <c r="AE159" s="94"/>
      <c r="AF159" s="94"/>
      <c r="AG159" s="359" t="str">
        <f t="shared" si="29"/>
        <v/>
      </c>
      <c r="AH159" s="641" t="str">
        <f t="shared" si="30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1"/>
        <v/>
      </c>
      <c r="AL159" s="365" t="str">
        <f t="shared" si="32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5"/>
        <v/>
      </c>
      <c r="AO159" s="372"/>
      <c r="AP159" s="373"/>
    </row>
    <row r="160" spans="1:4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6"/>
        <v/>
      </c>
      <c r="R160" s="364" t="str">
        <f t="shared" si="27"/>
        <v/>
      </c>
      <c r="S160" s="655" t="str">
        <f>IFERROR(INDEX('G-1 All Habitats'!$B$3:$B$130,MATCH(R160,'G-1 All Habitats'!$A$3:$A$130,0)),"")</f>
        <v/>
      </c>
      <c r="T160" s="77" t="str">
        <f t="shared" si="33"/>
        <v/>
      </c>
      <c r="U160" s="78" t="str">
        <f t="shared" si="28"/>
        <v/>
      </c>
      <c r="V160" s="367" t="str">
        <f t="shared" si="23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4"/>
        <v/>
      </c>
      <c r="AE160" s="94"/>
      <c r="AF160" s="94"/>
      <c r="AG160" s="359" t="str">
        <f t="shared" si="29"/>
        <v/>
      </c>
      <c r="AH160" s="641" t="str">
        <f t="shared" si="30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1"/>
        <v/>
      </c>
      <c r="AL160" s="365" t="str">
        <f t="shared" si="32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5"/>
        <v/>
      </c>
      <c r="AO160" s="372"/>
      <c r="AP160" s="373"/>
    </row>
    <row r="161" spans="1:4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6"/>
        <v/>
      </c>
      <c r="R161" s="364" t="str">
        <f t="shared" si="27"/>
        <v/>
      </c>
      <c r="S161" s="655" t="str">
        <f>IFERROR(INDEX('G-1 All Habitats'!$B$3:$B$130,MATCH(R161,'G-1 All Habitats'!$A$3:$A$130,0)),"")</f>
        <v/>
      </c>
      <c r="T161" s="77" t="str">
        <f t="shared" si="33"/>
        <v/>
      </c>
      <c r="U161" s="78" t="str">
        <f t="shared" si="28"/>
        <v/>
      </c>
      <c r="V161" s="367" t="str">
        <f t="shared" si="23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4"/>
        <v/>
      </c>
      <c r="AE161" s="94"/>
      <c r="AF161" s="94"/>
      <c r="AG161" s="359" t="str">
        <f t="shared" si="29"/>
        <v/>
      </c>
      <c r="AH161" s="641" t="str">
        <f t="shared" si="30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1"/>
        <v/>
      </c>
      <c r="AL161" s="365" t="str">
        <f t="shared" si="32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5"/>
        <v/>
      </c>
      <c r="AO161" s="372"/>
      <c r="AP161" s="373"/>
    </row>
    <row r="162" spans="1:4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6"/>
        <v/>
      </c>
      <c r="R162" s="364" t="str">
        <f t="shared" si="27"/>
        <v/>
      </c>
      <c r="S162" s="655" t="str">
        <f>IFERROR(INDEX('G-1 All Habitats'!$B$3:$B$130,MATCH(R162,'G-1 All Habitats'!$A$3:$A$130,0)),"")</f>
        <v/>
      </c>
      <c r="T162" s="77" t="str">
        <f t="shared" si="33"/>
        <v/>
      </c>
      <c r="U162" s="78" t="str">
        <f t="shared" si="28"/>
        <v/>
      </c>
      <c r="V162" s="367" t="str">
        <f t="shared" si="23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4"/>
        <v/>
      </c>
      <c r="AE162" s="94"/>
      <c r="AF162" s="94"/>
      <c r="AG162" s="359" t="str">
        <f t="shared" si="29"/>
        <v/>
      </c>
      <c r="AH162" s="641" t="str">
        <f t="shared" si="30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1"/>
        <v/>
      </c>
      <c r="AL162" s="365" t="str">
        <f t="shared" si="32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5"/>
        <v/>
      </c>
      <c r="AO162" s="372"/>
      <c r="AP162" s="373"/>
    </row>
    <row r="163" spans="1:4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6"/>
        <v/>
      </c>
      <c r="R163" s="364" t="str">
        <f t="shared" si="27"/>
        <v/>
      </c>
      <c r="S163" s="655" t="str">
        <f>IFERROR(INDEX('G-1 All Habitats'!$B$3:$B$130,MATCH(R163,'G-1 All Habitats'!$A$3:$A$130,0)),"")</f>
        <v/>
      </c>
      <c r="T163" s="77" t="str">
        <f t="shared" si="33"/>
        <v/>
      </c>
      <c r="U163" s="78" t="str">
        <f t="shared" si="28"/>
        <v/>
      </c>
      <c r="V163" s="367" t="str">
        <f t="shared" si="23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4"/>
        <v/>
      </c>
      <c r="AE163" s="94"/>
      <c r="AF163" s="94"/>
      <c r="AG163" s="359" t="str">
        <f t="shared" si="29"/>
        <v/>
      </c>
      <c r="AH163" s="641" t="str">
        <f t="shared" si="30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1"/>
        <v/>
      </c>
      <c r="AL163" s="365" t="str">
        <f t="shared" si="32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5"/>
        <v/>
      </c>
      <c r="AO163" s="372"/>
      <c r="AP163" s="373"/>
    </row>
    <row r="164" spans="1:4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6"/>
        <v/>
      </c>
      <c r="R164" s="364" t="str">
        <f t="shared" si="27"/>
        <v/>
      </c>
      <c r="S164" s="655" t="str">
        <f>IFERROR(INDEX('G-1 All Habitats'!$B$3:$B$130,MATCH(R164,'G-1 All Habitats'!$A$3:$A$130,0)),"")</f>
        <v/>
      </c>
      <c r="T164" s="77" t="str">
        <f t="shared" si="33"/>
        <v/>
      </c>
      <c r="U164" s="78" t="str">
        <f t="shared" si="28"/>
        <v/>
      </c>
      <c r="V164" s="367" t="str">
        <f t="shared" si="23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4"/>
        <v/>
      </c>
      <c r="AE164" s="94"/>
      <c r="AF164" s="94"/>
      <c r="AG164" s="359" t="str">
        <f t="shared" si="29"/>
        <v/>
      </c>
      <c r="AH164" s="641" t="str">
        <f t="shared" si="30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1"/>
        <v/>
      </c>
      <c r="AL164" s="365" t="str">
        <f t="shared" si="32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5"/>
        <v/>
      </c>
      <c r="AO164" s="372"/>
      <c r="AP164" s="373"/>
    </row>
    <row r="165" spans="1:4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6"/>
        <v/>
      </c>
      <c r="R165" s="364" t="str">
        <f t="shared" si="27"/>
        <v/>
      </c>
      <c r="S165" s="655" t="str">
        <f>IFERROR(INDEX('G-1 All Habitats'!$B$3:$B$130,MATCH(R165,'G-1 All Habitats'!$A$3:$A$130,0)),"")</f>
        <v/>
      </c>
      <c r="T165" s="77" t="str">
        <f t="shared" si="33"/>
        <v/>
      </c>
      <c r="U165" s="78" t="str">
        <f t="shared" si="28"/>
        <v/>
      </c>
      <c r="V165" s="367" t="str">
        <f t="shared" si="23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4"/>
        <v/>
      </c>
      <c r="AE165" s="94"/>
      <c r="AF165" s="94"/>
      <c r="AG165" s="359" t="str">
        <f t="shared" si="29"/>
        <v/>
      </c>
      <c r="AH165" s="641" t="str">
        <f t="shared" si="30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1"/>
        <v/>
      </c>
      <c r="AL165" s="365" t="str">
        <f t="shared" si="32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5"/>
        <v/>
      </c>
      <c r="AO165" s="372"/>
      <c r="AP165" s="373"/>
    </row>
    <row r="166" spans="1:4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6"/>
        <v/>
      </c>
      <c r="R166" s="364" t="str">
        <f t="shared" si="27"/>
        <v/>
      </c>
      <c r="S166" s="655" t="str">
        <f>IFERROR(INDEX('G-1 All Habitats'!$B$3:$B$130,MATCH(R166,'G-1 All Habitats'!$A$3:$A$130,0)),"")</f>
        <v/>
      </c>
      <c r="T166" s="77" t="str">
        <f t="shared" si="33"/>
        <v/>
      </c>
      <c r="U166" s="78" t="str">
        <f t="shared" si="28"/>
        <v/>
      </c>
      <c r="V166" s="367" t="str">
        <f t="shared" si="23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4"/>
        <v/>
      </c>
      <c r="AE166" s="94"/>
      <c r="AF166" s="94"/>
      <c r="AG166" s="359" t="str">
        <f t="shared" si="29"/>
        <v/>
      </c>
      <c r="AH166" s="641" t="str">
        <f t="shared" si="30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1"/>
        <v/>
      </c>
      <c r="AL166" s="365" t="str">
        <f t="shared" si="32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5"/>
        <v/>
      </c>
      <c r="AO166" s="372"/>
      <c r="AP166" s="373"/>
    </row>
    <row r="167" spans="1:4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6"/>
        <v/>
      </c>
      <c r="R167" s="364" t="str">
        <f t="shared" si="27"/>
        <v/>
      </c>
      <c r="S167" s="655" t="str">
        <f>IFERROR(INDEX('G-1 All Habitats'!$B$3:$B$130,MATCH(R167,'G-1 All Habitats'!$A$3:$A$130,0)),"")</f>
        <v/>
      </c>
      <c r="T167" s="77" t="str">
        <f t="shared" si="33"/>
        <v/>
      </c>
      <c r="U167" s="78" t="str">
        <f t="shared" si="28"/>
        <v/>
      </c>
      <c r="V167" s="367" t="str">
        <f t="shared" si="23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4"/>
        <v/>
      </c>
      <c r="AE167" s="94"/>
      <c r="AF167" s="94"/>
      <c r="AG167" s="359" t="str">
        <f t="shared" si="29"/>
        <v/>
      </c>
      <c r="AH167" s="641" t="str">
        <f t="shared" si="30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1"/>
        <v/>
      </c>
      <c r="AL167" s="365" t="str">
        <f t="shared" si="32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5"/>
        <v/>
      </c>
      <c r="AO167" s="372"/>
      <c r="AP167" s="373"/>
    </row>
    <row r="168" spans="1:4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6"/>
        <v/>
      </c>
      <c r="R168" s="364" t="str">
        <f t="shared" si="27"/>
        <v/>
      </c>
      <c r="S168" s="655" t="str">
        <f>IFERROR(INDEX('G-1 All Habitats'!$B$3:$B$130,MATCH(R168,'G-1 All Habitats'!$A$3:$A$130,0)),"")</f>
        <v/>
      </c>
      <c r="T168" s="77" t="str">
        <f t="shared" si="33"/>
        <v/>
      </c>
      <c r="U168" s="78" t="str">
        <f t="shared" si="28"/>
        <v/>
      </c>
      <c r="V168" s="367" t="str">
        <f t="shared" si="23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4"/>
        <v/>
      </c>
      <c r="AE168" s="94"/>
      <c r="AF168" s="94"/>
      <c r="AG168" s="359" t="str">
        <f t="shared" si="29"/>
        <v/>
      </c>
      <c r="AH168" s="641" t="str">
        <f t="shared" si="30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1"/>
        <v/>
      </c>
      <c r="AL168" s="365" t="str">
        <f t="shared" si="32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5"/>
        <v/>
      </c>
      <c r="AO168" s="372"/>
      <c r="AP168" s="373"/>
    </row>
    <row r="169" spans="1:4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6"/>
        <v/>
      </c>
      <c r="R169" s="364" t="str">
        <f t="shared" si="27"/>
        <v/>
      </c>
      <c r="S169" s="655" t="str">
        <f>IFERROR(INDEX('G-1 All Habitats'!$B$3:$B$130,MATCH(R169,'G-1 All Habitats'!$A$3:$A$130,0)),"")</f>
        <v/>
      </c>
      <c r="T169" s="77" t="str">
        <f t="shared" si="33"/>
        <v/>
      </c>
      <c r="U169" s="78" t="str">
        <f t="shared" si="28"/>
        <v/>
      </c>
      <c r="V169" s="367" t="str">
        <f t="shared" si="23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4"/>
        <v/>
      </c>
      <c r="AE169" s="94"/>
      <c r="AF169" s="94"/>
      <c r="AG169" s="359" t="str">
        <f t="shared" si="29"/>
        <v/>
      </c>
      <c r="AH169" s="641" t="str">
        <f t="shared" si="30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1"/>
        <v/>
      </c>
      <c r="AL169" s="365" t="str">
        <f t="shared" si="32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5"/>
        <v/>
      </c>
      <c r="AO169" s="372"/>
      <c r="AP169" s="373"/>
    </row>
    <row r="170" spans="1:4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6"/>
        <v/>
      </c>
      <c r="R170" s="364" t="str">
        <f t="shared" si="27"/>
        <v/>
      </c>
      <c r="S170" s="655" t="str">
        <f>IFERROR(INDEX('G-1 All Habitats'!$B$3:$B$130,MATCH(R170,'G-1 All Habitats'!$A$3:$A$130,0)),"")</f>
        <v/>
      </c>
      <c r="T170" s="77" t="str">
        <f t="shared" si="33"/>
        <v/>
      </c>
      <c r="U170" s="78" t="str">
        <f t="shared" si="28"/>
        <v/>
      </c>
      <c r="V170" s="367" t="str">
        <f t="shared" si="23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4"/>
        <v/>
      </c>
      <c r="AE170" s="94"/>
      <c r="AF170" s="94"/>
      <c r="AG170" s="359" t="str">
        <f t="shared" si="29"/>
        <v/>
      </c>
      <c r="AH170" s="641" t="str">
        <f t="shared" si="30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1"/>
        <v/>
      </c>
      <c r="AL170" s="365" t="str">
        <f t="shared" si="32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5"/>
        <v/>
      </c>
      <c r="AO170" s="372"/>
      <c r="AP170" s="373"/>
    </row>
    <row r="171" spans="1:4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6"/>
        <v/>
      </c>
      <c r="R171" s="364" t="str">
        <f t="shared" si="27"/>
        <v/>
      </c>
      <c r="S171" s="655" t="str">
        <f>IFERROR(INDEX('G-1 All Habitats'!$B$3:$B$130,MATCH(R171,'G-1 All Habitats'!$A$3:$A$130,0)),"")</f>
        <v/>
      </c>
      <c r="T171" s="77" t="str">
        <f t="shared" si="33"/>
        <v/>
      </c>
      <c r="U171" s="78" t="str">
        <f t="shared" si="28"/>
        <v/>
      </c>
      <c r="V171" s="367" t="str">
        <f t="shared" si="23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4"/>
        <v/>
      </c>
      <c r="AE171" s="94"/>
      <c r="AF171" s="94"/>
      <c r="AG171" s="359" t="str">
        <f t="shared" si="29"/>
        <v/>
      </c>
      <c r="AH171" s="641" t="str">
        <f t="shared" si="30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1"/>
        <v/>
      </c>
      <c r="AL171" s="365" t="str">
        <f t="shared" si="32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5"/>
        <v/>
      </c>
      <c r="AO171" s="372"/>
      <c r="AP171" s="373"/>
    </row>
    <row r="172" spans="1:4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6"/>
        <v/>
      </c>
      <c r="R172" s="364" t="str">
        <f t="shared" si="27"/>
        <v/>
      </c>
      <c r="S172" s="655" t="str">
        <f>IFERROR(INDEX('G-1 All Habitats'!$B$3:$B$130,MATCH(R172,'G-1 All Habitats'!$A$3:$A$130,0)),"")</f>
        <v/>
      </c>
      <c r="T172" s="77" t="str">
        <f t="shared" si="33"/>
        <v/>
      </c>
      <c r="U172" s="78" t="str">
        <f t="shared" si="28"/>
        <v/>
      </c>
      <c r="V172" s="367" t="str">
        <f t="shared" si="23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4"/>
        <v/>
      </c>
      <c r="AE172" s="94"/>
      <c r="AF172" s="94"/>
      <c r="AG172" s="359" t="str">
        <f t="shared" si="29"/>
        <v/>
      </c>
      <c r="AH172" s="641" t="str">
        <f t="shared" si="30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1"/>
        <v/>
      </c>
      <c r="AL172" s="365" t="str">
        <f t="shared" si="32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5"/>
        <v/>
      </c>
      <c r="AO172" s="372"/>
      <c r="AP172" s="373"/>
    </row>
    <row r="173" spans="1:4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6"/>
        <v/>
      </c>
      <c r="R173" s="364" t="str">
        <f t="shared" si="27"/>
        <v/>
      </c>
      <c r="S173" s="655" t="str">
        <f>IFERROR(INDEX('G-1 All Habitats'!$B$3:$B$130,MATCH(R173,'G-1 All Habitats'!$A$3:$A$130,0)),"")</f>
        <v/>
      </c>
      <c r="T173" s="77" t="str">
        <f t="shared" si="33"/>
        <v/>
      </c>
      <c r="U173" s="78" t="str">
        <f t="shared" si="28"/>
        <v/>
      </c>
      <c r="V173" s="367" t="str">
        <f t="shared" si="23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4"/>
        <v/>
      </c>
      <c r="AE173" s="94"/>
      <c r="AF173" s="94"/>
      <c r="AG173" s="359" t="str">
        <f t="shared" si="29"/>
        <v/>
      </c>
      <c r="AH173" s="641" t="str">
        <f t="shared" si="30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1"/>
        <v/>
      </c>
      <c r="AL173" s="365" t="str">
        <f t="shared" si="32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5"/>
        <v/>
      </c>
      <c r="AO173" s="372"/>
      <c r="AP173" s="373"/>
    </row>
    <row r="174" spans="1:4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6"/>
        <v/>
      </c>
      <c r="R174" s="364" t="str">
        <f t="shared" si="27"/>
        <v/>
      </c>
      <c r="S174" s="655" t="str">
        <f>IFERROR(INDEX('G-1 All Habitats'!$B$3:$B$130,MATCH(R174,'G-1 All Habitats'!$A$3:$A$130,0)),"")</f>
        <v/>
      </c>
      <c r="T174" s="77" t="str">
        <f t="shared" si="33"/>
        <v/>
      </c>
      <c r="U174" s="78" t="str">
        <f t="shared" si="28"/>
        <v/>
      </c>
      <c r="V174" s="367" t="str">
        <f t="shared" si="23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4"/>
        <v/>
      </c>
      <c r="AE174" s="94"/>
      <c r="AF174" s="94"/>
      <c r="AG174" s="359" t="str">
        <f t="shared" si="29"/>
        <v/>
      </c>
      <c r="AH174" s="641" t="str">
        <f t="shared" si="30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1"/>
        <v/>
      </c>
      <c r="AL174" s="365" t="str">
        <f t="shared" si="32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5"/>
        <v/>
      </c>
      <c r="AO174" s="372"/>
      <c r="AP174" s="373"/>
    </row>
    <row r="175" spans="1:4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6"/>
        <v/>
      </c>
      <c r="R175" s="364" t="str">
        <f t="shared" si="27"/>
        <v/>
      </c>
      <c r="S175" s="655" t="str">
        <f>IFERROR(INDEX('G-1 All Habitats'!$B$3:$B$130,MATCH(R175,'G-1 All Habitats'!$A$3:$A$130,0)),"")</f>
        <v/>
      </c>
      <c r="T175" s="77" t="str">
        <f t="shared" si="33"/>
        <v/>
      </c>
      <c r="U175" s="78" t="str">
        <f t="shared" si="28"/>
        <v/>
      </c>
      <c r="V175" s="367" t="str">
        <f t="shared" si="23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4"/>
        <v/>
      </c>
      <c r="AE175" s="94"/>
      <c r="AF175" s="94"/>
      <c r="AG175" s="359" t="str">
        <f t="shared" si="29"/>
        <v/>
      </c>
      <c r="AH175" s="641" t="str">
        <f t="shared" si="30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1"/>
        <v/>
      </c>
      <c r="AL175" s="365" t="str">
        <f t="shared" si="32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5"/>
        <v/>
      </c>
      <c r="AO175" s="372"/>
      <c r="AP175" s="373"/>
    </row>
    <row r="176" spans="1:4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6"/>
        <v/>
      </c>
      <c r="R176" s="364" t="str">
        <f t="shared" si="27"/>
        <v/>
      </c>
      <c r="S176" s="655" t="str">
        <f>IFERROR(INDEX('G-1 All Habitats'!$B$3:$B$130,MATCH(R176,'G-1 All Habitats'!$A$3:$A$130,0)),"")</f>
        <v/>
      </c>
      <c r="T176" s="77" t="str">
        <f t="shared" si="33"/>
        <v/>
      </c>
      <c r="U176" s="78" t="str">
        <f t="shared" si="28"/>
        <v/>
      </c>
      <c r="V176" s="367" t="str">
        <f t="shared" si="23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4"/>
        <v/>
      </c>
      <c r="AE176" s="94"/>
      <c r="AF176" s="94"/>
      <c r="AG176" s="359" t="str">
        <f t="shared" si="29"/>
        <v/>
      </c>
      <c r="AH176" s="641" t="str">
        <f t="shared" si="30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1"/>
        <v/>
      </c>
      <c r="AL176" s="365" t="str">
        <f t="shared" si="32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5"/>
        <v/>
      </c>
      <c r="AO176" s="372"/>
      <c r="AP176" s="373"/>
    </row>
    <row r="177" spans="1:4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6"/>
        <v/>
      </c>
      <c r="R177" s="364" t="str">
        <f t="shared" si="27"/>
        <v/>
      </c>
      <c r="S177" s="655" t="str">
        <f>IFERROR(INDEX('G-1 All Habitats'!$B$3:$B$130,MATCH(R177,'G-1 All Habitats'!$A$3:$A$130,0)),"")</f>
        <v/>
      </c>
      <c r="T177" s="77" t="str">
        <f t="shared" si="33"/>
        <v/>
      </c>
      <c r="U177" s="78" t="str">
        <f t="shared" si="28"/>
        <v/>
      </c>
      <c r="V177" s="367" t="str">
        <f t="shared" si="23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4"/>
        <v/>
      </c>
      <c r="AE177" s="94"/>
      <c r="AF177" s="94"/>
      <c r="AG177" s="359" t="str">
        <f t="shared" si="29"/>
        <v/>
      </c>
      <c r="AH177" s="641" t="str">
        <f t="shared" si="30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1"/>
        <v/>
      </c>
      <c r="AL177" s="365" t="str">
        <f t="shared" si="32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5"/>
        <v/>
      </c>
      <c r="AO177" s="372"/>
      <c r="AP177" s="373"/>
    </row>
    <row r="178" spans="1:4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6"/>
        <v/>
      </c>
      <c r="R178" s="364" t="str">
        <f t="shared" si="27"/>
        <v/>
      </c>
      <c r="S178" s="655" t="str">
        <f>IFERROR(INDEX('G-1 All Habitats'!$B$3:$B$130,MATCH(R178,'G-1 All Habitats'!$A$3:$A$130,0)),"")</f>
        <v/>
      </c>
      <c r="T178" s="77" t="str">
        <f t="shared" si="33"/>
        <v/>
      </c>
      <c r="U178" s="78" t="str">
        <f t="shared" si="28"/>
        <v/>
      </c>
      <c r="V178" s="367" t="str">
        <f t="shared" si="23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4"/>
        <v/>
      </c>
      <c r="AE178" s="94"/>
      <c r="AF178" s="94"/>
      <c r="AG178" s="359" t="str">
        <f t="shared" si="29"/>
        <v/>
      </c>
      <c r="AH178" s="641" t="str">
        <f t="shared" si="30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1"/>
        <v/>
      </c>
      <c r="AL178" s="365" t="str">
        <f t="shared" si="32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5"/>
        <v/>
      </c>
      <c r="AO178" s="372"/>
      <c r="AP178" s="373"/>
    </row>
    <row r="179" spans="1:4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6"/>
        <v/>
      </c>
      <c r="R179" s="364" t="str">
        <f t="shared" si="27"/>
        <v/>
      </c>
      <c r="S179" s="655" t="str">
        <f>IFERROR(INDEX('G-1 All Habitats'!$B$3:$B$130,MATCH(R179,'G-1 All Habitats'!$A$3:$A$130,0)),"")</f>
        <v/>
      </c>
      <c r="T179" s="77" t="str">
        <f t="shared" si="33"/>
        <v/>
      </c>
      <c r="U179" s="78" t="str">
        <f t="shared" si="28"/>
        <v/>
      </c>
      <c r="V179" s="367" t="str">
        <f t="shared" si="23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4"/>
        <v/>
      </c>
      <c r="AE179" s="94"/>
      <c r="AF179" s="94"/>
      <c r="AG179" s="359" t="str">
        <f t="shared" si="29"/>
        <v/>
      </c>
      <c r="AH179" s="641" t="str">
        <f t="shared" si="30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1"/>
        <v/>
      </c>
      <c r="AL179" s="365" t="str">
        <f t="shared" si="32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5"/>
        <v/>
      </c>
      <c r="AO179" s="372"/>
      <c r="AP179" s="373"/>
    </row>
    <row r="180" spans="1:4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6"/>
        <v/>
      </c>
      <c r="R180" s="364" t="str">
        <f t="shared" si="27"/>
        <v/>
      </c>
      <c r="S180" s="655" t="str">
        <f>IFERROR(INDEX('G-1 All Habitats'!$B$3:$B$130,MATCH(R180,'G-1 All Habitats'!$A$3:$A$130,0)),"")</f>
        <v/>
      </c>
      <c r="T180" s="77" t="str">
        <f t="shared" si="33"/>
        <v/>
      </c>
      <c r="U180" s="78" t="str">
        <f t="shared" si="28"/>
        <v/>
      </c>
      <c r="V180" s="367" t="str">
        <f t="shared" si="23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4"/>
        <v/>
      </c>
      <c r="AE180" s="94"/>
      <c r="AF180" s="94"/>
      <c r="AG180" s="359" t="str">
        <f t="shared" si="29"/>
        <v/>
      </c>
      <c r="AH180" s="641" t="str">
        <f t="shared" si="30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1"/>
        <v/>
      </c>
      <c r="AL180" s="365" t="str">
        <f t="shared" si="32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5"/>
        <v/>
      </c>
      <c r="AO180" s="372"/>
      <c r="AP180" s="373"/>
    </row>
    <row r="181" spans="1:4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6"/>
        <v/>
      </c>
      <c r="R181" s="364" t="str">
        <f t="shared" si="27"/>
        <v/>
      </c>
      <c r="S181" s="655" t="str">
        <f>IFERROR(INDEX('G-1 All Habitats'!$B$3:$B$130,MATCH(R181,'G-1 All Habitats'!$A$3:$A$130,0)),"")</f>
        <v/>
      </c>
      <c r="T181" s="77" t="str">
        <f t="shared" si="33"/>
        <v/>
      </c>
      <c r="U181" s="78" t="str">
        <f t="shared" si="28"/>
        <v/>
      </c>
      <c r="V181" s="367" t="str">
        <f t="shared" si="23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4"/>
        <v/>
      </c>
      <c r="AE181" s="94"/>
      <c r="AF181" s="94"/>
      <c r="AG181" s="359" t="str">
        <f t="shared" si="29"/>
        <v/>
      </c>
      <c r="AH181" s="641" t="str">
        <f t="shared" si="30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1"/>
        <v/>
      </c>
      <c r="AL181" s="365" t="str">
        <f t="shared" si="32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5"/>
        <v/>
      </c>
      <c r="AO181" s="372"/>
      <c r="AP181" s="373"/>
    </row>
    <row r="182" spans="1:4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6"/>
        <v/>
      </c>
      <c r="R182" s="364" t="str">
        <f t="shared" si="27"/>
        <v/>
      </c>
      <c r="S182" s="655" t="str">
        <f>IFERROR(INDEX('G-1 All Habitats'!$B$3:$B$130,MATCH(R182,'G-1 All Habitats'!$A$3:$A$130,0)),"")</f>
        <v/>
      </c>
      <c r="T182" s="77" t="str">
        <f t="shared" si="33"/>
        <v/>
      </c>
      <c r="U182" s="78" t="str">
        <f t="shared" si="28"/>
        <v/>
      </c>
      <c r="V182" s="367" t="str">
        <f t="shared" si="23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4"/>
        <v/>
      </c>
      <c r="AE182" s="94"/>
      <c r="AF182" s="94"/>
      <c r="AG182" s="359" t="str">
        <f t="shared" si="29"/>
        <v/>
      </c>
      <c r="AH182" s="641" t="str">
        <f t="shared" si="30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1"/>
        <v/>
      </c>
      <c r="AL182" s="365" t="str">
        <f t="shared" si="32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5"/>
        <v/>
      </c>
      <c r="AO182" s="372"/>
      <c r="AP182" s="373"/>
    </row>
    <row r="183" spans="1:4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6"/>
        <v/>
      </c>
      <c r="R183" s="364" t="str">
        <f t="shared" si="27"/>
        <v/>
      </c>
      <c r="S183" s="655" t="str">
        <f>IFERROR(INDEX('G-1 All Habitats'!$B$3:$B$130,MATCH(R183,'G-1 All Habitats'!$A$3:$A$130,0)),"")</f>
        <v/>
      </c>
      <c r="T183" s="77" t="str">
        <f t="shared" si="33"/>
        <v/>
      </c>
      <c r="U183" s="78" t="str">
        <f t="shared" si="28"/>
        <v/>
      </c>
      <c r="V183" s="367" t="str">
        <f t="shared" si="23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4"/>
        <v/>
      </c>
      <c r="AE183" s="94"/>
      <c r="AF183" s="94"/>
      <c r="AG183" s="359" t="str">
        <f t="shared" si="29"/>
        <v/>
      </c>
      <c r="AH183" s="641" t="str">
        <f t="shared" si="30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1"/>
        <v/>
      </c>
      <c r="AL183" s="365" t="str">
        <f t="shared" si="32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5"/>
        <v/>
      </c>
      <c r="AO183" s="372"/>
      <c r="AP183" s="373"/>
    </row>
    <row r="184" spans="1:4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6"/>
        <v/>
      </c>
      <c r="R184" s="364" t="str">
        <f t="shared" si="27"/>
        <v/>
      </c>
      <c r="S184" s="655" t="str">
        <f>IFERROR(INDEX('G-1 All Habitats'!$B$3:$B$130,MATCH(R184,'G-1 All Habitats'!$A$3:$A$130,0)),"")</f>
        <v/>
      </c>
      <c r="T184" s="77" t="str">
        <f t="shared" si="33"/>
        <v/>
      </c>
      <c r="U184" s="78" t="str">
        <f t="shared" si="28"/>
        <v/>
      </c>
      <c r="V184" s="367" t="str">
        <f t="shared" si="23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4"/>
        <v/>
      </c>
      <c r="AE184" s="94"/>
      <c r="AF184" s="94"/>
      <c r="AG184" s="359" t="str">
        <f t="shared" si="29"/>
        <v/>
      </c>
      <c r="AH184" s="641" t="str">
        <f t="shared" si="30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1"/>
        <v/>
      </c>
      <c r="AL184" s="365" t="str">
        <f t="shared" si="32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5"/>
        <v/>
      </c>
      <c r="AO184" s="372"/>
      <c r="AP184" s="373"/>
    </row>
    <row r="185" spans="1:4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6"/>
        <v/>
      </c>
      <c r="R185" s="364" t="str">
        <f t="shared" si="27"/>
        <v/>
      </c>
      <c r="S185" s="655" t="str">
        <f>IFERROR(INDEX('G-1 All Habitats'!$B$3:$B$130,MATCH(R185,'G-1 All Habitats'!$A$3:$A$130,0)),"")</f>
        <v/>
      </c>
      <c r="T185" s="77" t="str">
        <f t="shared" si="33"/>
        <v/>
      </c>
      <c r="U185" s="78" t="str">
        <f t="shared" si="28"/>
        <v/>
      </c>
      <c r="V185" s="367" t="str">
        <f t="shared" si="23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4"/>
        <v/>
      </c>
      <c r="AE185" s="94"/>
      <c r="AF185" s="94"/>
      <c r="AG185" s="359" t="str">
        <f t="shared" si="29"/>
        <v/>
      </c>
      <c r="AH185" s="641" t="str">
        <f t="shared" si="30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1"/>
        <v/>
      </c>
      <c r="AL185" s="365" t="str">
        <f t="shared" si="32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5"/>
        <v/>
      </c>
      <c r="AO185" s="372"/>
      <c r="AP185" s="373"/>
    </row>
    <row r="186" spans="1:4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6"/>
        <v/>
      </c>
      <c r="R186" s="364" t="str">
        <f t="shared" si="27"/>
        <v/>
      </c>
      <c r="S186" s="655" t="str">
        <f>IFERROR(INDEX('G-1 All Habitats'!$B$3:$B$130,MATCH(R186,'G-1 All Habitats'!$A$3:$A$130,0)),"")</f>
        <v/>
      </c>
      <c r="T186" s="77" t="str">
        <f t="shared" si="33"/>
        <v/>
      </c>
      <c r="U186" s="78" t="str">
        <f t="shared" si="28"/>
        <v/>
      </c>
      <c r="V186" s="367" t="str">
        <f t="shared" si="23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4"/>
        <v/>
      </c>
      <c r="AE186" s="94"/>
      <c r="AF186" s="94"/>
      <c r="AG186" s="359" t="str">
        <f t="shared" si="29"/>
        <v/>
      </c>
      <c r="AH186" s="641" t="str">
        <f t="shared" si="30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1"/>
        <v/>
      </c>
      <c r="AL186" s="365" t="str">
        <f t="shared" si="32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5"/>
        <v/>
      </c>
      <c r="AO186" s="372"/>
      <c r="AP186" s="373"/>
    </row>
    <row r="187" spans="1:4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6"/>
        <v/>
      </c>
      <c r="R187" s="364" t="str">
        <f t="shared" si="27"/>
        <v/>
      </c>
      <c r="S187" s="655" t="str">
        <f>IFERROR(INDEX('G-1 All Habitats'!$B$3:$B$130,MATCH(R187,'G-1 All Habitats'!$A$3:$A$130,0)),"")</f>
        <v/>
      </c>
      <c r="T187" s="77" t="str">
        <f t="shared" si="33"/>
        <v/>
      </c>
      <c r="U187" s="78" t="str">
        <f t="shared" si="28"/>
        <v/>
      </c>
      <c r="V187" s="367" t="str">
        <f t="shared" si="23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4"/>
        <v/>
      </c>
      <c r="AE187" s="94"/>
      <c r="AF187" s="94"/>
      <c r="AG187" s="359" t="str">
        <f t="shared" si="29"/>
        <v/>
      </c>
      <c r="AH187" s="641" t="str">
        <f t="shared" si="30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1"/>
        <v/>
      </c>
      <c r="AL187" s="365" t="str">
        <f t="shared" si="32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5"/>
        <v/>
      </c>
      <c r="AO187" s="372"/>
      <c r="AP187" s="373"/>
    </row>
    <row r="188" spans="1:4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6"/>
        <v/>
      </c>
      <c r="R188" s="364" t="str">
        <f t="shared" si="27"/>
        <v/>
      </c>
      <c r="S188" s="655" t="str">
        <f>IFERROR(INDEX('G-1 All Habitats'!$B$3:$B$130,MATCH(R188,'G-1 All Habitats'!$A$3:$A$130,0)),"")</f>
        <v/>
      </c>
      <c r="T188" s="77" t="str">
        <f t="shared" si="33"/>
        <v/>
      </c>
      <c r="U188" s="78" t="str">
        <f t="shared" si="28"/>
        <v/>
      </c>
      <c r="V188" s="367" t="str">
        <f t="shared" si="23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4"/>
        <v/>
      </c>
      <c r="AE188" s="94"/>
      <c r="AF188" s="94"/>
      <c r="AG188" s="359" t="str">
        <f t="shared" si="29"/>
        <v/>
      </c>
      <c r="AH188" s="641" t="str">
        <f t="shared" si="30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1"/>
        <v/>
      </c>
      <c r="AL188" s="365" t="str">
        <f t="shared" si="32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5"/>
        <v/>
      </c>
      <c r="AO188" s="372"/>
      <c r="AP188" s="373"/>
    </row>
    <row r="189" spans="1:4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6"/>
        <v/>
      </c>
      <c r="R189" s="364" t="str">
        <f t="shared" si="27"/>
        <v/>
      </c>
      <c r="S189" s="655" t="str">
        <f>IFERROR(INDEX('G-1 All Habitats'!$B$3:$B$130,MATCH(R189,'G-1 All Habitats'!$A$3:$A$130,0)),"")</f>
        <v/>
      </c>
      <c r="T189" s="77" t="str">
        <f t="shared" si="33"/>
        <v/>
      </c>
      <c r="U189" s="78" t="str">
        <f t="shared" si="28"/>
        <v/>
      </c>
      <c r="V189" s="367" t="str">
        <f t="shared" si="23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4"/>
        <v/>
      </c>
      <c r="AE189" s="94"/>
      <c r="AF189" s="94"/>
      <c r="AG189" s="359" t="str">
        <f t="shared" si="29"/>
        <v/>
      </c>
      <c r="AH189" s="641" t="str">
        <f t="shared" si="30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1"/>
        <v/>
      </c>
      <c r="AL189" s="365" t="str">
        <f t="shared" si="32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5"/>
        <v/>
      </c>
      <c r="AO189" s="372"/>
      <c r="AP189" s="373"/>
    </row>
    <row r="190" spans="1:4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6"/>
        <v/>
      </c>
      <c r="R190" s="364" t="str">
        <f t="shared" si="27"/>
        <v/>
      </c>
      <c r="S190" s="655" t="str">
        <f>IFERROR(INDEX('G-1 All Habitats'!$B$3:$B$130,MATCH(R190,'G-1 All Habitats'!$A$3:$A$130,0)),"")</f>
        <v/>
      </c>
      <c r="T190" s="77" t="str">
        <f t="shared" si="33"/>
        <v/>
      </c>
      <c r="U190" s="78" t="str">
        <f t="shared" si="28"/>
        <v/>
      </c>
      <c r="V190" s="367" t="str">
        <f t="shared" si="23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4"/>
        <v/>
      </c>
      <c r="AE190" s="94"/>
      <c r="AF190" s="94"/>
      <c r="AG190" s="359" t="str">
        <f t="shared" si="29"/>
        <v/>
      </c>
      <c r="AH190" s="641" t="str">
        <f t="shared" si="30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1"/>
        <v/>
      </c>
      <c r="AL190" s="365" t="str">
        <f t="shared" si="32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5"/>
        <v/>
      </c>
      <c r="AO190" s="372"/>
      <c r="AP190" s="373"/>
    </row>
    <row r="191" spans="1:4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6"/>
        <v/>
      </c>
      <c r="R191" s="364" t="str">
        <f t="shared" si="27"/>
        <v/>
      </c>
      <c r="S191" s="655" t="str">
        <f>IFERROR(INDEX('G-1 All Habitats'!$B$3:$B$130,MATCH(R191,'G-1 All Habitats'!$A$3:$A$130,0)),"")</f>
        <v/>
      </c>
      <c r="T191" s="77" t="str">
        <f t="shared" si="33"/>
        <v/>
      </c>
      <c r="U191" s="78" t="str">
        <f t="shared" si="28"/>
        <v/>
      </c>
      <c r="V191" s="367" t="str">
        <f t="shared" si="23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4"/>
        <v/>
      </c>
      <c r="AE191" s="94"/>
      <c r="AF191" s="94"/>
      <c r="AG191" s="359" t="str">
        <f t="shared" si="29"/>
        <v/>
      </c>
      <c r="AH191" s="641" t="str">
        <f t="shared" si="30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1"/>
        <v/>
      </c>
      <c r="AL191" s="365" t="str">
        <f t="shared" si="32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5"/>
        <v/>
      </c>
      <c r="AO191" s="372"/>
      <c r="AP191" s="373"/>
    </row>
    <row r="192" spans="1:4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6"/>
        <v/>
      </c>
      <c r="R192" s="364" t="str">
        <f t="shared" si="27"/>
        <v/>
      </c>
      <c r="S192" s="655" t="str">
        <f>IFERROR(INDEX('G-1 All Habitats'!$B$3:$B$130,MATCH(R192,'G-1 All Habitats'!$A$3:$A$130,0)),"")</f>
        <v/>
      </c>
      <c r="T192" s="77" t="str">
        <f t="shared" si="33"/>
        <v/>
      </c>
      <c r="U192" s="78" t="str">
        <f t="shared" si="28"/>
        <v/>
      </c>
      <c r="V192" s="367" t="str">
        <f t="shared" si="23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4"/>
        <v/>
      </c>
      <c r="AE192" s="94"/>
      <c r="AF192" s="94"/>
      <c r="AG192" s="359" t="str">
        <f t="shared" si="29"/>
        <v/>
      </c>
      <c r="AH192" s="641" t="str">
        <f t="shared" si="30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1"/>
        <v/>
      </c>
      <c r="AL192" s="365" t="str">
        <f t="shared" si="32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5"/>
        <v/>
      </c>
      <c r="AO192" s="372"/>
      <c r="AP192" s="373"/>
    </row>
    <row r="193" spans="1:4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6"/>
        <v/>
      </c>
      <c r="R193" s="364" t="str">
        <f t="shared" si="27"/>
        <v/>
      </c>
      <c r="S193" s="655" t="str">
        <f>IFERROR(INDEX('G-1 All Habitats'!$B$3:$B$130,MATCH(R193,'G-1 All Habitats'!$A$3:$A$130,0)),"")</f>
        <v/>
      </c>
      <c r="T193" s="77" t="str">
        <f t="shared" si="33"/>
        <v/>
      </c>
      <c r="U193" s="78" t="str">
        <f t="shared" si="28"/>
        <v/>
      </c>
      <c r="V193" s="367" t="str">
        <f t="shared" si="23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4"/>
        <v/>
      </c>
      <c r="AE193" s="94"/>
      <c r="AF193" s="94"/>
      <c r="AG193" s="359" t="str">
        <f t="shared" si="29"/>
        <v/>
      </c>
      <c r="AH193" s="641" t="str">
        <f t="shared" si="30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1"/>
        <v/>
      </c>
      <c r="AL193" s="365" t="str">
        <f t="shared" si="32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5"/>
        <v/>
      </c>
      <c r="AO193" s="372"/>
      <c r="AP193" s="373"/>
    </row>
    <row r="194" spans="1:4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6"/>
        <v/>
      </c>
      <c r="R194" s="364" t="str">
        <f t="shared" si="27"/>
        <v/>
      </c>
      <c r="S194" s="655" t="str">
        <f>IFERROR(INDEX('G-1 All Habitats'!$B$3:$B$130,MATCH(R194,'G-1 All Habitats'!$A$3:$A$130,0)),"")</f>
        <v/>
      </c>
      <c r="T194" s="77" t="str">
        <f t="shared" si="33"/>
        <v/>
      </c>
      <c r="U194" s="78" t="str">
        <f t="shared" si="28"/>
        <v/>
      </c>
      <c r="V194" s="367" t="str">
        <f t="shared" si="23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4"/>
        <v/>
      </c>
      <c r="AE194" s="94"/>
      <c r="AF194" s="94"/>
      <c r="AG194" s="359" t="str">
        <f t="shared" si="29"/>
        <v/>
      </c>
      <c r="AH194" s="641" t="str">
        <f t="shared" si="30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1"/>
        <v/>
      </c>
      <c r="AL194" s="365" t="str">
        <f t="shared" si="32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5"/>
        <v/>
      </c>
      <c r="AO194" s="372"/>
      <c r="AP194" s="373"/>
    </row>
    <row r="195" spans="1:4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6"/>
        <v/>
      </c>
      <c r="R195" s="364" t="str">
        <f t="shared" si="27"/>
        <v/>
      </c>
      <c r="S195" s="655" t="str">
        <f>IFERROR(INDEX('G-1 All Habitats'!$B$3:$B$130,MATCH(R195,'G-1 All Habitats'!$A$3:$A$130,0)),"")</f>
        <v/>
      </c>
      <c r="T195" s="77" t="str">
        <f t="shared" si="33"/>
        <v/>
      </c>
      <c r="U195" s="78" t="str">
        <f t="shared" si="28"/>
        <v/>
      </c>
      <c r="V195" s="367" t="str">
        <f t="shared" si="23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4"/>
        <v/>
      </c>
      <c r="AE195" s="94"/>
      <c r="AF195" s="94"/>
      <c r="AG195" s="359" t="str">
        <f t="shared" si="29"/>
        <v/>
      </c>
      <c r="AH195" s="641" t="str">
        <f t="shared" si="30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1"/>
        <v/>
      </c>
      <c r="AL195" s="365" t="str">
        <f t="shared" si="32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5"/>
        <v/>
      </c>
      <c r="AO195" s="372"/>
      <c r="AP195" s="373"/>
    </row>
    <row r="196" spans="1:4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6"/>
        <v/>
      </c>
      <c r="R196" s="364" t="str">
        <f t="shared" si="27"/>
        <v/>
      </c>
      <c r="S196" s="655" t="str">
        <f>IFERROR(INDEX('G-1 All Habitats'!$B$3:$B$130,MATCH(R196,'G-1 All Habitats'!$A$3:$A$130,0)),"")</f>
        <v/>
      </c>
      <c r="T196" s="77" t="str">
        <f t="shared" si="33"/>
        <v/>
      </c>
      <c r="U196" s="78" t="str">
        <f t="shared" si="28"/>
        <v/>
      </c>
      <c r="V196" s="367" t="str">
        <f t="shared" si="23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4"/>
        <v/>
      </c>
      <c r="AE196" s="94"/>
      <c r="AF196" s="94"/>
      <c r="AG196" s="359" t="str">
        <f t="shared" si="29"/>
        <v/>
      </c>
      <c r="AH196" s="641" t="str">
        <f t="shared" si="30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1"/>
        <v/>
      </c>
      <c r="AL196" s="365" t="str">
        <f t="shared" si="32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5"/>
        <v/>
      </c>
      <c r="AO196" s="372"/>
      <c r="AP196" s="373"/>
    </row>
    <row r="197" spans="1:4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6"/>
        <v/>
      </c>
      <c r="R197" s="364" t="str">
        <f t="shared" si="27"/>
        <v/>
      </c>
      <c r="S197" s="655" t="str">
        <f>IFERROR(INDEX('G-1 All Habitats'!$B$3:$B$130,MATCH(R197,'G-1 All Habitats'!$A$3:$A$130,0)),"")</f>
        <v/>
      </c>
      <c r="T197" s="77" t="str">
        <f t="shared" si="33"/>
        <v/>
      </c>
      <c r="U197" s="78" t="str">
        <f t="shared" si="28"/>
        <v/>
      </c>
      <c r="V197" s="367" t="str">
        <f t="shared" si="23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4"/>
        <v/>
      </c>
      <c r="AE197" s="94"/>
      <c r="AF197" s="94"/>
      <c r="AG197" s="359" t="str">
        <f t="shared" si="29"/>
        <v/>
      </c>
      <c r="AH197" s="641" t="str">
        <f t="shared" si="30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1"/>
        <v/>
      </c>
      <c r="AL197" s="365" t="str">
        <f t="shared" si="32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5"/>
        <v/>
      </c>
      <c r="AO197" s="372"/>
      <c r="AP197" s="373"/>
    </row>
    <row r="198" spans="1:4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6"/>
        <v/>
      </c>
      <c r="R198" s="364" t="str">
        <f t="shared" si="27"/>
        <v/>
      </c>
      <c r="S198" s="655" t="str">
        <f>IFERROR(INDEX('G-1 All Habitats'!$B$3:$B$130,MATCH(R198,'G-1 All Habitats'!$A$3:$A$130,0)),"")</f>
        <v/>
      </c>
      <c r="T198" s="77" t="str">
        <f t="shared" si="33"/>
        <v/>
      </c>
      <c r="U198" s="78" t="str">
        <f t="shared" si="28"/>
        <v/>
      </c>
      <c r="V198" s="367" t="str">
        <f t="shared" si="23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4"/>
        <v/>
      </c>
      <c r="AE198" s="94"/>
      <c r="AF198" s="94"/>
      <c r="AG198" s="359" t="str">
        <f t="shared" si="29"/>
        <v/>
      </c>
      <c r="AH198" s="641" t="str">
        <f t="shared" si="30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1"/>
        <v/>
      </c>
      <c r="AL198" s="365" t="str">
        <f t="shared" si="32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5"/>
        <v/>
      </c>
      <c r="AO198" s="372"/>
      <c r="AP198" s="373"/>
    </row>
    <row r="199" spans="1:4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6"/>
        <v/>
      </c>
      <c r="R199" s="364" t="str">
        <f t="shared" si="27"/>
        <v/>
      </c>
      <c r="S199" s="655" t="str">
        <f>IFERROR(INDEX('G-1 All Habitats'!$B$3:$B$130,MATCH(R199,'G-1 All Habitats'!$A$3:$A$130,0)),"")</f>
        <v/>
      </c>
      <c r="T199" s="77" t="str">
        <f t="shared" si="33"/>
        <v/>
      </c>
      <c r="U199" s="78" t="str">
        <f t="shared" si="28"/>
        <v/>
      </c>
      <c r="V199" s="367" t="str">
        <f t="shared" si="23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4"/>
        <v/>
      </c>
      <c r="AE199" s="94"/>
      <c r="AF199" s="94"/>
      <c r="AG199" s="359" t="str">
        <f t="shared" si="29"/>
        <v/>
      </c>
      <c r="AH199" s="641" t="str">
        <f t="shared" si="30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1"/>
        <v/>
      </c>
      <c r="AL199" s="365" t="str">
        <f t="shared" si="32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5"/>
        <v/>
      </c>
      <c r="AO199" s="372"/>
      <c r="AP199" s="373"/>
    </row>
    <row r="200" spans="1:4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6"/>
        <v/>
      </c>
      <c r="R200" s="364" t="str">
        <f t="shared" si="27"/>
        <v/>
      </c>
      <c r="S200" s="655" t="str">
        <f>IFERROR(INDEX('G-1 All Habitats'!$B$3:$B$130,MATCH(R200,'G-1 All Habitats'!$A$3:$A$130,0)),"")</f>
        <v/>
      </c>
      <c r="T200" s="77" t="str">
        <f t="shared" si="33"/>
        <v/>
      </c>
      <c r="U200" s="78" t="str">
        <f t="shared" si="28"/>
        <v/>
      </c>
      <c r="V200" s="367" t="str">
        <f t="shared" si="23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4"/>
        <v/>
      </c>
      <c r="AE200" s="94"/>
      <c r="AF200" s="94"/>
      <c r="AG200" s="359" t="str">
        <f t="shared" si="29"/>
        <v/>
      </c>
      <c r="AH200" s="641" t="str">
        <f t="shared" si="30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1"/>
        <v/>
      </c>
      <c r="AL200" s="365" t="str">
        <f t="shared" si="32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5"/>
        <v/>
      </c>
      <c r="AO200" s="372"/>
      <c r="AP200" s="373"/>
    </row>
    <row r="201" spans="1:4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6"/>
        <v/>
      </c>
      <c r="R201" s="364" t="str">
        <f t="shared" si="27"/>
        <v/>
      </c>
      <c r="S201" s="655" t="str">
        <f>IFERROR(INDEX('G-1 All Habitats'!$B$3:$B$130,MATCH(R201,'G-1 All Habitats'!$A$3:$A$130,0)),"")</f>
        <v/>
      </c>
      <c r="T201" s="77" t="str">
        <f t="shared" si="33"/>
        <v/>
      </c>
      <c r="U201" s="78" t="str">
        <f t="shared" si="28"/>
        <v/>
      </c>
      <c r="V201" s="367" t="str">
        <f t="shared" si="23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4"/>
        <v/>
      </c>
      <c r="AE201" s="94"/>
      <c r="AF201" s="94"/>
      <c r="AG201" s="359" t="str">
        <f t="shared" si="29"/>
        <v/>
      </c>
      <c r="AH201" s="641" t="str">
        <f t="shared" si="30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1"/>
        <v/>
      </c>
      <c r="AL201" s="365" t="str">
        <f t="shared" si="32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5"/>
        <v/>
      </c>
      <c r="AO201" s="372"/>
      <c r="AP201" s="373"/>
    </row>
    <row r="202" spans="1:4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6"/>
        <v/>
      </c>
      <c r="R202" s="364" t="str">
        <f t="shared" si="27"/>
        <v/>
      </c>
      <c r="S202" s="655" t="str">
        <f>IFERROR(INDEX('G-1 All Habitats'!$B$3:$B$130,MATCH(R202,'G-1 All Habitats'!$A$3:$A$130,0)),"")</f>
        <v/>
      </c>
      <c r="T202" s="77" t="str">
        <f t="shared" si="33"/>
        <v/>
      </c>
      <c r="U202" s="78" t="str">
        <f t="shared" si="28"/>
        <v/>
      </c>
      <c r="V202" s="367" t="str">
        <f t="shared" si="23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4"/>
        <v/>
      </c>
      <c r="AE202" s="94"/>
      <c r="AF202" s="94"/>
      <c r="AG202" s="359" t="str">
        <f t="shared" si="29"/>
        <v/>
      </c>
      <c r="AH202" s="641" t="str">
        <f t="shared" si="30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1"/>
        <v/>
      </c>
      <c r="AL202" s="365" t="str">
        <f t="shared" si="32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5"/>
        <v/>
      </c>
      <c r="AO202" s="372"/>
      <c r="AP202" s="373"/>
    </row>
    <row r="203" spans="1:4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6"/>
        <v/>
      </c>
      <c r="R203" s="364" t="str">
        <f t="shared" si="27"/>
        <v/>
      </c>
      <c r="S203" s="655" t="str">
        <f>IFERROR(INDEX('G-1 All Habitats'!$B$3:$B$130,MATCH(R203,'G-1 All Habitats'!$A$3:$A$130,0)),"")</f>
        <v/>
      </c>
      <c r="T203" s="77" t="str">
        <f t="shared" si="33"/>
        <v/>
      </c>
      <c r="U203" s="78" t="str">
        <f t="shared" si="28"/>
        <v/>
      </c>
      <c r="V203" s="367" t="str">
        <f t="shared" si="23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4"/>
        <v/>
      </c>
      <c r="AE203" s="94"/>
      <c r="AF203" s="94"/>
      <c r="AG203" s="359" t="str">
        <f t="shared" si="29"/>
        <v/>
      </c>
      <c r="AH203" s="641" t="str">
        <f t="shared" si="30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1"/>
        <v/>
      </c>
      <c r="AL203" s="365" t="str">
        <f t="shared" si="32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5"/>
        <v/>
      </c>
      <c r="AO203" s="372"/>
      <c r="AP203" s="373"/>
    </row>
    <row r="204" spans="1:4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6"/>
        <v/>
      </c>
      <c r="R204" s="364" t="str">
        <f t="shared" si="27"/>
        <v/>
      </c>
      <c r="S204" s="655" t="str">
        <f>IFERROR(INDEX('G-1 All Habitats'!$B$3:$B$130,MATCH(R204,'G-1 All Habitats'!$A$3:$A$130,0)),"")</f>
        <v/>
      </c>
      <c r="T204" s="77" t="str">
        <f t="shared" si="33"/>
        <v/>
      </c>
      <c r="U204" s="78" t="str">
        <f t="shared" si="28"/>
        <v/>
      </c>
      <c r="V204" s="367" t="str">
        <f t="shared" ref="V204:V257" si="34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5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29"/>
        <v/>
      </c>
      <c r="AH204" s="641" t="str">
        <f t="shared" si="30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1"/>
        <v/>
      </c>
      <c r="AL204" s="365" t="str">
        <f t="shared" si="32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6">IFERROR(((((V204*X204*Z204)-(V204*I204*K204))*(AM204*AI204))+(V204*I204*K204))*(AC204),"")</f>
        <v/>
      </c>
      <c r="AO204" s="372"/>
      <c r="AP204" s="373"/>
    </row>
    <row r="205" spans="1:4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7">A205</f>
        <v/>
      </c>
      <c r="R205" s="364" t="str">
        <f t="shared" ref="R205:R257" si="38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3"/>
        <v/>
      </c>
      <c r="U205" s="78" t="str">
        <f t="shared" ref="U205:U257" si="39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4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5"/>
        <v/>
      </c>
      <c r="AE205" s="94"/>
      <c r="AF205" s="94"/>
      <c r="AG205" s="359" t="str">
        <f t="shared" ref="AG205:AG257" si="40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1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2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3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6"/>
        <v/>
      </c>
      <c r="AO205" s="372"/>
      <c r="AP205" s="373"/>
    </row>
    <row r="206" spans="1:4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7"/>
        <v/>
      </c>
      <c r="R206" s="364" t="str">
        <f t="shared" si="38"/>
        <v/>
      </c>
      <c r="S206" s="655" t="str">
        <f>IFERROR(INDEX('G-1 All Habitats'!$B$3:$B$130,MATCH(R206,'G-1 All Habitats'!$A$3:$A$130,0)),"")</f>
        <v/>
      </c>
      <c r="T206" s="77" t="str">
        <f t="shared" si="33"/>
        <v/>
      </c>
      <c r="U206" s="78" t="str">
        <f t="shared" si="39"/>
        <v/>
      </c>
      <c r="V206" s="367" t="str">
        <f t="shared" si="34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5"/>
        <v/>
      </c>
      <c r="AE206" s="94"/>
      <c r="AF206" s="94"/>
      <c r="AG206" s="359" t="str">
        <f t="shared" si="40"/>
        <v/>
      </c>
      <c r="AH206" s="641" t="str">
        <f t="shared" si="41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2"/>
        <v/>
      </c>
      <c r="AL206" s="365" t="str">
        <f t="shared" si="43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6"/>
        <v/>
      </c>
      <c r="AO206" s="372"/>
      <c r="AP206" s="373"/>
    </row>
    <row r="207" spans="1:4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7"/>
        <v/>
      </c>
      <c r="R207" s="364" t="str">
        <f t="shared" si="38"/>
        <v/>
      </c>
      <c r="S207" s="655" t="str">
        <f>IFERROR(INDEX('G-1 All Habitats'!$B$3:$B$130,MATCH(R207,'G-1 All Habitats'!$A$3:$A$130,0)),"")</f>
        <v/>
      </c>
      <c r="T207" s="77" t="str">
        <f t="shared" si="33"/>
        <v/>
      </c>
      <c r="U207" s="78" t="str">
        <f t="shared" si="39"/>
        <v/>
      </c>
      <c r="V207" s="367" t="str">
        <f t="shared" si="34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5"/>
        <v/>
      </c>
      <c r="AE207" s="94"/>
      <c r="AF207" s="94"/>
      <c r="AG207" s="359" t="str">
        <f t="shared" si="40"/>
        <v/>
      </c>
      <c r="AH207" s="641" t="str">
        <f t="shared" si="41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2"/>
        <v/>
      </c>
      <c r="AL207" s="365" t="str">
        <f t="shared" si="43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6"/>
        <v/>
      </c>
      <c r="AO207" s="372"/>
      <c r="AP207" s="373"/>
    </row>
    <row r="208" spans="1:4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7"/>
        <v/>
      </c>
      <c r="R208" s="364" t="str">
        <f t="shared" si="38"/>
        <v/>
      </c>
      <c r="S208" s="655" t="str">
        <f>IFERROR(INDEX('G-1 All Habitats'!$B$3:$B$130,MATCH(R208,'G-1 All Habitats'!$A$3:$A$130,0)),"")</f>
        <v/>
      </c>
      <c r="T208" s="77" t="str">
        <f t="shared" ref="T208:T257" si="44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39"/>
        <v/>
      </c>
      <c r="V208" s="367" t="str">
        <f t="shared" si="34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5"/>
        <v/>
      </c>
      <c r="AE208" s="94"/>
      <c r="AF208" s="94"/>
      <c r="AG208" s="359" t="str">
        <f t="shared" si="40"/>
        <v/>
      </c>
      <c r="AH208" s="641" t="str">
        <f t="shared" si="41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2"/>
        <v/>
      </c>
      <c r="AL208" s="365" t="str">
        <f t="shared" si="43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6"/>
        <v/>
      </c>
      <c r="AO208" s="372"/>
      <c r="AP208" s="373"/>
    </row>
    <row r="209" spans="1:4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7"/>
        <v/>
      </c>
      <c r="R209" s="364" t="str">
        <f t="shared" si="38"/>
        <v/>
      </c>
      <c r="S209" s="655" t="str">
        <f>IFERROR(INDEX('G-1 All Habitats'!$B$3:$B$130,MATCH(R209,'G-1 All Habitats'!$A$3:$A$130,0)),"")</f>
        <v/>
      </c>
      <c r="T209" s="77" t="str">
        <f t="shared" si="44"/>
        <v/>
      </c>
      <c r="U209" s="78" t="str">
        <f t="shared" si="39"/>
        <v/>
      </c>
      <c r="V209" s="367" t="str">
        <f t="shared" si="34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5"/>
        <v/>
      </c>
      <c r="AE209" s="94"/>
      <c r="AF209" s="94"/>
      <c r="AG209" s="359" t="str">
        <f t="shared" si="40"/>
        <v/>
      </c>
      <c r="AH209" s="641" t="str">
        <f t="shared" si="41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2"/>
        <v/>
      </c>
      <c r="AL209" s="365" t="str">
        <f t="shared" si="43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6"/>
        <v/>
      </c>
      <c r="AO209" s="372"/>
      <c r="AP209" s="373"/>
    </row>
    <row r="210" spans="1:4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7"/>
        <v/>
      </c>
      <c r="R210" s="364" t="str">
        <f t="shared" si="38"/>
        <v/>
      </c>
      <c r="S210" s="655" t="str">
        <f>IFERROR(INDEX('G-1 All Habitats'!$B$3:$B$130,MATCH(R210,'G-1 All Habitats'!$A$3:$A$130,0)),"")</f>
        <v/>
      </c>
      <c r="T210" s="77" t="str">
        <f t="shared" si="44"/>
        <v/>
      </c>
      <c r="U210" s="78" t="str">
        <f t="shared" si="39"/>
        <v/>
      </c>
      <c r="V210" s="367" t="str">
        <f t="shared" si="34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5"/>
        <v/>
      </c>
      <c r="AE210" s="94"/>
      <c r="AF210" s="94"/>
      <c r="AG210" s="359" t="str">
        <f t="shared" si="40"/>
        <v/>
      </c>
      <c r="AH210" s="641" t="str">
        <f t="shared" si="41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2"/>
        <v/>
      </c>
      <c r="AL210" s="365" t="str">
        <f t="shared" si="43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6"/>
        <v/>
      </c>
      <c r="AO210" s="372"/>
      <c r="AP210" s="373"/>
    </row>
    <row r="211" spans="1:4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7"/>
        <v/>
      </c>
      <c r="R211" s="364" t="str">
        <f t="shared" si="38"/>
        <v/>
      </c>
      <c r="S211" s="655" t="str">
        <f>IFERROR(INDEX('G-1 All Habitats'!$B$3:$B$130,MATCH(R211,'G-1 All Habitats'!$A$3:$A$130,0)),"")</f>
        <v/>
      </c>
      <c r="T211" s="77" t="str">
        <f t="shared" si="44"/>
        <v/>
      </c>
      <c r="U211" s="78" t="str">
        <f t="shared" si="39"/>
        <v/>
      </c>
      <c r="V211" s="367" t="str">
        <f t="shared" si="34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5"/>
        <v/>
      </c>
      <c r="AE211" s="94"/>
      <c r="AF211" s="94"/>
      <c r="AG211" s="359" t="str">
        <f t="shared" si="40"/>
        <v/>
      </c>
      <c r="AH211" s="641" t="str">
        <f t="shared" si="41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2"/>
        <v/>
      </c>
      <c r="AL211" s="365" t="str">
        <f t="shared" si="43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6"/>
        <v/>
      </c>
      <c r="AO211" s="372"/>
      <c r="AP211" s="373"/>
    </row>
    <row r="212" spans="1:4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7"/>
        <v/>
      </c>
      <c r="R212" s="364" t="str">
        <f t="shared" si="38"/>
        <v/>
      </c>
      <c r="S212" s="655" t="str">
        <f>IFERROR(INDEX('G-1 All Habitats'!$B$3:$B$130,MATCH(R212,'G-1 All Habitats'!$A$3:$A$130,0)),"")</f>
        <v/>
      </c>
      <c r="T212" s="77" t="str">
        <f t="shared" si="44"/>
        <v/>
      </c>
      <c r="U212" s="78" t="str">
        <f t="shared" si="39"/>
        <v/>
      </c>
      <c r="V212" s="367" t="str">
        <f t="shared" si="34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5"/>
        <v/>
      </c>
      <c r="AE212" s="94"/>
      <c r="AF212" s="94"/>
      <c r="AG212" s="359" t="str">
        <f t="shared" si="40"/>
        <v/>
      </c>
      <c r="AH212" s="641" t="str">
        <f t="shared" si="41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2"/>
        <v/>
      </c>
      <c r="AL212" s="365" t="str">
        <f t="shared" si="43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6"/>
        <v/>
      </c>
      <c r="AO212" s="372"/>
      <c r="AP212" s="373"/>
    </row>
    <row r="213" spans="1:4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7"/>
        <v/>
      </c>
      <c r="R213" s="364" t="str">
        <f t="shared" si="38"/>
        <v/>
      </c>
      <c r="S213" s="655" t="str">
        <f>IFERROR(INDEX('G-1 All Habitats'!$B$3:$B$130,MATCH(R213,'G-1 All Habitats'!$A$3:$A$130,0)),"")</f>
        <v/>
      </c>
      <c r="T213" s="77" t="str">
        <f t="shared" si="44"/>
        <v/>
      </c>
      <c r="U213" s="78" t="str">
        <f t="shared" si="39"/>
        <v/>
      </c>
      <c r="V213" s="367" t="str">
        <f t="shared" si="34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5"/>
        <v/>
      </c>
      <c r="AE213" s="94"/>
      <c r="AF213" s="94"/>
      <c r="AG213" s="359" t="str">
        <f t="shared" si="40"/>
        <v/>
      </c>
      <c r="AH213" s="641" t="str">
        <f t="shared" si="41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2"/>
        <v/>
      </c>
      <c r="AL213" s="365" t="str">
        <f t="shared" si="43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6"/>
        <v/>
      </c>
      <c r="AO213" s="372"/>
      <c r="AP213" s="373"/>
    </row>
    <row r="214" spans="1:4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7"/>
        <v/>
      </c>
      <c r="R214" s="364" t="str">
        <f t="shared" si="38"/>
        <v/>
      </c>
      <c r="S214" s="655" t="str">
        <f>IFERROR(INDEX('G-1 All Habitats'!$B$3:$B$130,MATCH(R214,'G-1 All Habitats'!$A$3:$A$130,0)),"")</f>
        <v/>
      </c>
      <c r="T214" s="77" t="str">
        <f t="shared" si="44"/>
        <v/>
      </c>
      <c r="U214" s="78" t="str">
        <f t="shared" si="39"/>
        <v/>
      </c>
      <c r="V214" s="367" t="str">
        <f t="shared" si="34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5"/>
        <v/>
      </c>
      <c r="AE214" s="94"/>
      <c r="AF214" s="94"/>
      <c r="AG214" s="359" t="str">
        <f t="shared" si="40"/>
        <v/>
      </c>
      <c r="AH214" s="641" t="str">
        <f t="shared" si="41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2"/>
        <v/>
      </c>
      <c r="AL214" s="365" t="str">
        <f t="shared" si="43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6"/>
        <v/>
      </c>
      <c r="AO214" s="372"/>
      <c r="AP214" s="373"/>
    </row>
    <row r="215" spans="1:4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7"/>
        <v/>
      </c>
      <c r="R215" s="364" t="str">
        <f t="shared" si="38"/>
        <v/>
      </c>
      <c r="S215" s="655" t="str">
        <f>IFERROR(INDEX('G-1 All Habitats'!$B$3:$B$130,MATCH(R215,'G-1 All Habitats'!$A$3:$A$130,0)),"")</f>
        <v/>
      </c>
      <c r="T215" s="77" t="str">
        <f t="shared" si="44"/>
        <v/>
      </c>
      <c r="U215" s="78" t="str">
        <f t="shared" si="39"/>
        <v/>
      </c>
      <c r="V215" s="367" t="str">
        <f t="shared" si="34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5"/>
        <v/>
      </c>
      <c r="AE215" s="94"/>
      <c r="AF215" s="94"/>
      <c r="AG215" s="359" t="str">
        <f t="shared" si="40"/>
        <v/>
      </c>
      <c r="AH215" s="641" t="str">
        <f t="shared" si="41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2"/>
        <v/>
      </c>
      <c r="AL215" s="365" t="str">
        <f t="shared" si="43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6"/>
        <v/>
      </c>
      <c r="AO215" s="372"/>
      <c r="AP215" s="373"/>
    </row>
    <row r="216" spans="1:4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7"/>
        <v/>
      </c>
      <c r="R216" s="364" t="str">
        <f t="shared" si="38"/>
        <v/>
      </c>
      <c r="S216" s="655" t="str">
        <f>IFERROR(INDEX('G-1 All Habitats'!$B$3:$B$130,MATCH(R216,'G-1 All Habitats'!$A$3:$A$130,0)),"")</f>
        <v/>
      </c>
      <c r="T216" s="77" t="str">
        <f t="shared" si="44"/>
        <v/>
      </c>
      <c r="U216" s="78" t="str">
        <f t="shared" si="39"/>
        <v/>
      </c>
      <c r="V216" s="367" t="str">
        <f t="shared" si="34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5"/>
        <v/>
      </c>
      <c r="AE216" s="94"/>
      <c r="AF216" s="94"/>
      <c r="AG216" s="359" t="str">
        <f t="shared" si="40"/>
        <v/>
      </c>
      <c r="AH216" s="641" t="str">
        <f t="shared" si="41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2"/>
        <v/>
      </c>
      <c r="AL216" s="365" t="str">
        <f t="shared" si="43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6"/>
        <v/>
      </c>
      <c r="AO216" s="372"/>
      <c r="AP216" s="373"/>
    </row>
    <row r="217" spans="1:4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7"/>
        <v/>
      </c>
      <c r="R217" s="364" t="str">
        <f t="shared" si="38"/>
        <v/>
      </c>
      <c r="S217" s="655" t="str">
        <f>IFERROR(INDEX('G-1 All Habitats'!$B$3:$B$130,MATCH(R217,'G-1 All Habitats'!$A$3:$A$130,0)),"")</f>
        <v/>
      </c>
      <c r="T217" s="77" t="str">
        <f t="shared" si="44"/>
        <v/>
      </c>
      <c r="U217" s="78" t="str">
        <f t="shared" si="39"/>
        <v/>
      </c>
      <c r="V217" s="367" t="str">
        <f t="shared" si="34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5"/>
        <v/>
      </c>
      <c r="AE217" s="94"/>
      <c r="AF217" s="94"/>
      <c r="AG217" s="359" t="str">
        <f t="shared" si="40"/>
        <v/>
      </c>
      <c r="AH217" s="641" t="str">
        <f t="shared" si="41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2"/>
        <v/>
      </c>
      <c r="AL217" s="365" t="str">
        <f t="shared" si="43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6"/>
        <v/>
      </c>
      <c r="AO217" s="372"/>
      <c r="AP217" s="373"/>
    </row>
    <row r="218" spans="1:4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7"/>
        <v/>
      </c>
      <c r="R218" s="364" t="str">
        <f t="shared" si="38"/>
        <v/>
      </c>
      <c r="S218" s="655" t="str">
        <f>IFERROR(INDEX('G-1 All Habitats'!$B$3:$B$130,MATCH(R218,'G-1 All Habitats'!$A$3:$A$130,0)),"")</f>
        <v/>
      </c>
      <c r="T218" s="77" t="str">
        <f t="shared" si="44"/>
        <v/>
      </c>
      <c r="U218" s="78" t="str">
        <f t="shared" si="39"/>
        <v/>
      </c>
      <c r="V218" s="367" t="str">
        <f t="shared" si="34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5"/>
        <v/>
      </c>
      <c r="AE218" s="94"/>
      <c r="AF218" s="94"/>
      <c r="AG218" s="359" t="str">
        <f t="shared" si="40"/>
        <v/>
      </c>
      <c r="AH218" s="641" t="str">
        <f t="shared" si="41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2"/>
        <v/>
      </c>
      <c r="AL218" s="365" t="str">
        <f t="shared" si="43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6"/>
        <v/>
      </c>
      <c r="AO218" s="372"/>
      <c r="AP218" s="373"/>
    </row>
    <row r="219" spans="1:4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7"/>
        <v/>
      </c>
      <c r="R219" s="364" t="str">
        <f t="shared" si="38"/>
        <v/>
      </c>
      <c r="S219" s="655" t="str">
        <f>IFERROR(INDEX('G-1 All Habitats'!$B$3:$B$130,MATCH(R219,'G-1 All Habitats'!$A$3:$A$130,0)),"")</f>
        <v/>
      </c>
      <c r="T219" s="77" t="str">
        <f t="shared" si="44"/>
        <v/>
      </c>
      <c r="U219" s="78" t="str">
        <f t="shared" si="39"/>
        <v/>
      </c>
      <c r="V219" s="367" t="str">
        <f t="shared" si="34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5"/>
        <v/>
      </c>
      <c r="AE219" s="94"/>
      <c r="AF219" s="94"/>
      <c r="AG219" s="359" t="str">
        <f t="shared" si="40"/>
        <v/>
      </c>
      <c r="AH219" s="641" t="str">
        <f t="shared" si="41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2"/>
        <v/>
      </c>
      <c r="AL219" s="365" t="str">
        <f t="shared" si="43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6"/>
        <v/>
      </c>
      <c r="AO219" s="372"/>
      <c r="AP219" s="373"/>
    </row>
    <row r="220" spans="1:4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7"/>
        <v/>
      </c>
      <c r="R220" s="364" t="str">
        <f t="shared" si="38"/>
        <v/>
      </c>
      <c r="S220" s="655" t="str">
        <f>IFERROR(INDEX('G-1 All Habitats'!$B$3:$B$130,MATCH(R220,'G-1 All Habitats'!$A$3:$A$130,0)),"")</f>
        <v/>
      </c>
      <c r="T220" s="77" t="str">
        <f t="shared" si="44"/>
        <v/>
      </c>
      <c r="U220" s="78" t="str">
        <f t="shared" si="39"/>
        <v/>
      </c>
      <c r="V220" s="367" t="str">
        <f t="shared" si="34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5"/>
        <v/>
      </c>
      <c r="AE220" s="94"/>
      <c r="AF220" s="94"/>
      <c r="AG220" s="359" t="str">
        <f t="shared" si="40"/>
        <v/>
      </c>
      <c r="AH220" s="641" t="str">
        <f t="shared" si="41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2"/>
        <v/>
      </c>
      <c r="AL220" s="365" t="str">
        <f t="shared" si="43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6"/>
        <v/>
      </c>
      <c r="AO220" s="372"/>
      <c r="AP220" s="373"/>
    </row>
    <row r="221" spans="1:4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7"/>
        <v/>
      </c>
      <c r="R221" s="364" t="str">
        <f t="shared" si="38"/>
        <v/>
      </c>
      <c r="S221" s="655" t="str">
        <f>IFERROR(INDEX('G-1 All Habitats'!$B$3:$B$130,MATCH(R221,'G-1 All Habitats'!$A$3:$A$130,0)),"")</f>
        <v/>
      </c>
      <c r="T221" s="77" t="str">
        <f t="shared" si="44"/>
        <v/>
      </c>
      <c r="U221" s="78" t="str">
        <f t="shared" si="39"/>
        <v/>
      </c>
      <c r="V221" s="367" t="str">
        <f t="shared" si="34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5"/>
        <v/>
      </c>
      <c r="AE221" s="94"/>
      <c r="AF221" s="94"/>
      <c r="AG221" s="359" t="str">
        <f t="shared" si="40"/>
        <v/>
      </c>
      <c r="AH221" s="641" t="str">
        <f t="shared" si="41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2"/>
        <v/>
      </c>
      <c r="AL221" s="365" t="str">
        <f t="shared" si="43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6"/>
        <v/>
      </c>
      <c r="AO221" s="372"/>
      <c r="AP221" s="373"/>
    </row>
    <row r="222" spans="1:4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7"/>
        <v/>
      </c>
      <c r="R222" s="364" t="str">
        <f t="shared" si="38"/>
        <v/>
      </c>
      <c r="S222" s="655" t="str">
        <f>IFERROR(INDEX('G-1 All Habitats'!$B$3:$B$130,MATCH(R222,'G-1 All Habitats'!$A$3:$A$130,0)),"")</f>
        <v/>
      </c>
      <c r="T222" s="77" t="str">
        <f t="shared" si="44"/>
        <v/>
      </c>
      <c r="U222" s="78" t="str">
        <f t="shared" si="39"/>
        <v/>
      </c>
      <c r="V222" s="367" t="str">
        <f t="shared" si="34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5"/>
        <v/>
      </c>
      <c r="AE222" s="94"/>
      <c r="AF222" s="94"/>
      <c r="AG222" s="359" t="str">
        <f t="shared" si="40"/>
        <v/>
      </c>
      <c r="AH222" s="641" t="str">
        <f t="shared" si="41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2"/>
        <v/>
      </c>
      <c r="AL222" s="365" t="str">
        <f t="shared" si="43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6"/>
        <v/>
      </c>
      <c r="AO222" s="372"/>
      <c r="AP222" s="373"/>
    </row>
    <row r="223" spans="1:4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7"/>
        <v/>
      </c>
      <c r="R223" s="364" t="str">
        <f t="shared" si="38"/>
        <v/>
      </c>
      <c r="S223" s="655" t="str">
        <f>IFERROR(INDEX('G-1 All Habitats'!$B$3:$B$130,MATCH(R223,'G-1 All Habitats'!$A$3:$A$130,0)),"")</f>
        <v/>
      </c>
      <c r="T223" s="77" t="str">
        <f t="shared" si="44"/>
        <v/>
      </c>
      <c r="U223" s="78" t="str">
        <f t="shared" si="39"/>
        <v/>
      </c>
      <c r="V223" s="367" t="str">
        <f t="shared" si="34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5"/>
        <v/>
      </c>
      <c r="AE223" s="94"/>
      <c r="AF223" s="94"/>
      <c r="AG223" s="359" t="str">
        <f t="shared" si="40"/>
        <v/>
      </c>
      <c r="AH223" s="641" t="str">
        <f t="shared" si="41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2"/>
        <v/>
      </c>
      <c r="AL223" s="365" t="str">
        <f t="shared" si="43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6"/>
        <v/>
      </c>
      <c r="AO223" s="372"/>
      <c r="AP223" s="373"/>
    </row>
    <row r="224" spans="1:4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7"/>
        <v/>
      </c>
      <c r="R224" s="364" t="str">
        <f t="shared" si="38"/>
        <v/>
      </c>
      <c r="S224" s="655" t="str">
        <f>IFERROR(INDEX('G-1 All Habitats'!$B$3:$B$130,MATCH(R224,'G-1 All Habitats'!$A$3:$A$130,0)),"")</f>
        <v/>
      </c>
      <c r="T224" s="77" t="str">
        <f t="shared" si="44"/>
        <v/>
      </c>
      <c r="U224" s="78" t="str">
        <f t="shared" si="39"/>
        <v/>
      </c>
      <c r="V224" s="367" t="str">
        <f t="shared" si="34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5"/>
        <v/>
      </c>
      <c r="AE224" s="94"/>
      <c r="AF224" s="94"/>
      <c r="AG224" s="359" t="str">
        <f t="shared" si="40"/>
        <v/>
      </c>
      <c r="AH224" s="641" t="str">
        <f t="shared" si="41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2"/>
        <v/>
      </c>
      <c r="AL224" s="365" t="str">
        <f t="shared" si="43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6"/>
        <v/>
      </c>
      <c r="AO224" s="372"/>
      <c r="AP224" s="373"/>
    </row>
    <row r="225" spans="1:4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7"/>
        <v/>
      </c>
      <c r="R225" s="364" t="str">
        <f t="shared" si="38"/>
        <v/>
      </c>
      <c r="S225" s="655" t="str">
        <f>IFERROR(INDEX('G-1 All Habitats'!$B$3:$B$130,MATCH(R225,'G-1 All Habitats'!$A$3:$A$130,0)),"")</f>
        <v/>
      </c>
      <c r="T225" s="77" t="str">
        <f t="shared" si="44"/>
        <v/>
      </c>
      <c r="U225" s="78" t="str">
        <f t="shared" si="39"/>
        <v/>
      </c>
      <c r="V225" s="367" t="str">
        <f t="shared" si="34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5"/>
        <v/>
      </c>
      <c r="AE225" s="94"/>
      <c r="AF225" s="94"/>
      <c r="AG225" s="359" t="str">
        <f t="shared" si="40"/>
        <v/>
      </c>
      <c r="AH225" s="641" t="str">
        <f t="shared" si="41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2"/>
        <v/>
      </c>
      <c r="AL225" s="365" t="str">
        <f t="shared" si="43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6"/>
        <v/>
      </c>
      <c r="AO225" s="372"/>
      <c r="AP225" s="373"/>
    </row>
    <row r="226" spans="1:4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7"/>
        <v/>
      </c>
      <c r="R226" s="364" t="str">
        <f t="shared" si="38"/>
        <v/>
      </c>
      <c r="S226" s="655" t="str">
        <f>IFERROR(INDEX('G-1 All Habitats'!$B$3:$B$130,MATCH(R226,'G-1 All Habitats'!$A$3:$A$130,0)),"")</f>
        <v/>
      </c>
      <c r="T226" s="77" t="str">
        <f t="shared" si="44"/>
        <v/>
      </c>
      <c r="U226" s="78" t="str">
        <f t="shared" si="39"/>
        <v/>
      </c>
      <c r="V226" s="367" t="str">
        <f t="shared" si="34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5"/>
        <v/>
      </c>
      <c r="AE226" s="94"/>
      <c r="AF226" s="94"/>
      <c r="AG226" s="359" t="str">
        <f t="shared" si="40"/>
        <v/>
      </c>
      <c r="AH226" s="641" t="str">
        <f t="shared" si="41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2"/>
        <v/>
      </c>
      <c r="AL226" s="365" t="str">
        <f t="shared" si="43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6"/>
        <v/>
      </c>
      <c r="AO226" s="372"/>
      <c r="AP226" s="373"/>
    </row>
    <row r="227" spans="1:4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7"/>
        <v/>
      </c>
      <c r="R227" s="364" t="str">
        <f t="shared" si="38"/>
        <v/>
      </c>
      <c r="S227" s="655" t="str">
        <f>IFERROR(INDEX('G-1 All Habitats'!$B$3:$B$130,MATCH(R227,'G-1 All Habitats'!$A$3:$A$130,0)),"")</f>
        <v/>
      </c>
      <c r="T227" s="77" t="str">
        <f t="shared" si="44"/>
        <v/>
      </c>
      <c r="U227" s="78" t="str">
        <f t="shared" si="39"/>
        <v/>
      </c>
      <c r="V227" s="367" t="str">
        <f t="shared" si="34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5"/>
        <v/>
      </c>
      <c r="AE227" s="94"/>
      <c r="AF227" s="94"/>
      <c r="AG227" s="359" t="str">
        <f t="shared" si="40"/>
        <v/>
      </c>
      <c r="AH227" s="641" t="str">
        <f t="shared" si="41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2"/>
        <v/>
      </c>
      <c r="AL227" s="365" t="str">
        <f t="shared" si="43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6"/>
        <v/>
      </c>
      <c r="AO227" s="372"/>
      <c r="AP227" s="373"/>
    </row>
    <row r="228" spans="1:4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7"/>
        <v/>
      </c>
      <c r="R228" s="364" t="str">
        <f t="shared" si="38"/>
        <v/>
      </c>
      <c r="S228" s="655" t="str">
        <f>IFERROR(INDEX('G-1 All Habitats'!$B$3:$B$130,MATCH(R228,'G-1 All Habitats'!$A$3:$A$130,0)),"")</f>
        <v/>
      </c>
      <c r="T228" s="77" t="str">
        <f t="shared" si="44"/>
        <v/>
      </c>
      <c r="U228" s="78" t="str">
        <f t="shared" si="39"/>
        <v/>
      </c>
      <c r="V228" s="367" t="str">
        <f t="shared" si="34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5"/>
        <v/>
      </c>
      <c r="AE228" s="94"/>
      <c r="AF228" s="94"/>
      <c r="AG228" s="359" t="str">
        <f t="shared" si="40"/>
        <v/>
      </c>
      <c r="AH228" s="641" t="str">
        <f t="shared" si="41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2"/>
        <v/>
      </c>
      <c r="AL228" s="365" t="str">
        <f t="shared" si="43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6"/>
        <v/>
      </c>
      <c r="AO228" s="372"/>
      <c r="AP228" s="373"/>
    </row>
    <row r="229" spans="1:4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7"/>
        <v/>
      </c>
      <c r="R229" s="364" t="str">
        <f t="shared" si="38"/>
        <v/>
      </c>
      <c r="S229" s="655" t="str">
        <f>IFERROR(INDEX('G-1 All Habitats'!$B$3:$B$130,MATCH(R229,'G-1 All Habitats'!$A$3:$A$130,0)),"")</f>
        <v/>
      </c>
      <c r="T229" s="77" t="str">
        <f t="shared" si="44"/>
        <v/>
      </c>
      <c r="U229" s="78" t="str">
        <f t="shared" si="39"/>
        <v/>
      </c>
      <c r="V229" s="367" t="str">
        <f t="shared" si="34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5"/>
        <v/>
      </c>
      <c r="AE229" s="94"/>
      <c r="AF229" s="94"/>
      <c r="AG229" s="359" t="str">
        <f t="shared" si="40"/>
        <v/>
      </c>
      <c r="AH229" s="641" t="str">
        <f t="shared" si="41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2"/>
        <v/>
      </c>
      <c r="AL229" s="365" t="str">
        <f t="shared" si="43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6"/>
        <v/>
      </c>
      <c r="AO229" s="372"/>
      <c r="AP229" s="373"/>
    </row>
    <row r="230" spans="1:4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7"/>
        <v/>
      </c>
      <c r="R230" s="364" t="str">
        <f t="shared" si="38"/>
        <v/>
      </c>
      <c r="S230" s="655" t="str">
        <f>IFERROR(INDEX('G-1 All Habitats'!$B$3:$B$130,MATCH(R230,'G-1 All Habitats'!$A$3:$A$130,0)),"")</f>
        <v/>
      </c>
      <c r="T230" s="77" t="str">
        <f t="shared" si="44"/>
        <v/>
      </c>
      <c r="U230" s="78" t="str">
        <f t="shared" si="39"/>
        <v/>
      </c>
      <c r="V230" s="367" t="str">
        <f t="shared" si="34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5"/>
        <v/>
      </c>
      <c r="AE230" s="94"/>
      <c r="AF230" s="94"/>
      <c r="AG230" s="359" t="str">
        <f t="shared" si="40"/>
        <v/>
      </c>
      <c r="AH230" s="641" t="str">
        <f t="shared" si="41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2"/>
        <v/>
      </c>
      <c r="AL230" s="365" t="str">
        <f t="shared" si="43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6"/>
        <v/>
      </c>
      <c r="AO230" s="372"/>
      <c r="AP230" s="373"/>
    </row>
    <row r="231" spans="1:4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7"/>
        <v/>
      </c>
      <c r="R231" s="364" t="str">
        <f t="shared" si="38"/>
        <v/>
      </c>
      <c r="S231" s="655" t="str">
        <f>IFERROR(INDEX('G-1 All Habitats'!$B$3:$B$130,MATCH(R231,'G-1 All Habitats'!$A$3:$A$130,0)),"")</f>
        <v/>
      </c>
      <c r="T231" s="77" t="str">
        <f t="shared" si="44"/>
        <v/>
      </c>
      <c r="U231" s="78" t="str">
        <f t="shared" si="39"/>
        <v/>
      </c>
      <c r="V231" s="367" t="str">
        <f t="shared" si="34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5"/>
        <v/>
      </c>
      <c r="AE231" s="94"/>
      <c r="AF231" s="94"/>
      <c r="AG231" s="359" t="str">
        <f t="shared" si="40"/>
        <v/>
      </c>
      <c r="AH231" s="641" t="str">
        <f t="shared" si="41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2"/>
        <v/>
      </c>
      <c r="AL231" s="365" t="str">
        <f t="shared" si="43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6"/>
        <v/>
      </c>
      <c r="AO231" s="372"/>
      <c r="AP231" s="373"/>
    </row>
    <row r="232" spans="1:4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7"/>
        <v/>
      </c>
      <c r="R232" s="364" t="str">
        <f t="shared" si="38"/>
        <v/>
      </c>
      <c r="S232" s="655" t="str">
        <f>IFERROR(INDEX('G-1 All Habitats'!$B$3:$B$130,MATCH(R232,'G-1 All Habitats'!$A$3:$A$130,0)),"")</f>
        <v/>
      </c>
      <c r="T232" s="77" t="str">
        <f t="shared" si="44"/>
        <v/>
      </c>
      <c r="U232" s="78" t="str">
        <f t="shared" si="39"/>
        <v/>
      </c>
      <c r="V232" s="367" t="str">
        <f t="shared" si="34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5"/>
        <v/>
      </c>
      <c r="AE232" s="94"/>
      <c r="AF232" s="94"/>
      <c r="AG232" s="359" t="str">
        <f t="shared" si="40"/>
        <v/>
      </c>
      <c r="AH232" s="641" t="str">
        <f t="shared" si="41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2"/>
        <v/>
      </c>
      <c r="AL232" s="365" t="str">
        <f t="shared" si="43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6"/>
        <v/>
      </c>
      <c r="AO232" s="372"/>
      <c r="AP232" s="373"/>
    </row>
    <row r="233" spans="1:4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7"/>
        <v/>
      </c>
      <c r="R233" s="364" t="str">
        <f t="shared" si="38"/>
        <v/>
      </c>
      <c r="S233" s="655" t="str">
        <f>IFERROR(INDEX('G-1 All Habitats'!$B$3:$B$130,MATCH(R233,'G-1 All Habitats'!$A$3:$A$130,0)),"")</f>
        <v/>
      </c>
      <c r="T233" s="77" t="str">
        <f t="shared" si="44"/>
        <v/>
      </c>
      <c r="U233" s="78" t="str">
        <f t="shared" si="39"/>
        <v/>
      </c>
      <c r="V233" s="367" t="str">
        <f t="shared" si="34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5"/>
        <v/>
      </c>
      <c r="AE233" s="94"/>
      <c r="AF233" s="94"/>
      <c r="AG233" s="359" t="str">
        <f t="shared" si="40"/>
        <v/>
      </c>
      <c r="AH233" s="641" t="str">
        <f t="shared" si="41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2"/>
        <v/>
      </c>
      <c r="AL233" s="365" t="str">
        <f t="shared" si="43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6"/>
        <v/>
      </c>
      <c r="AO233" s="372"/>
      <c r="AP233" s="373"/>
    </row>
    <row r="234" spans="1:4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7"/>
        <v/>
      </c>
      <c r="R234" s="364" t="str">
        <f t="shared" si="38"/>
        <v/>
      </c>
      <c r="S234" s="655" t="str">
        <f>IFERROR(INDEX('G-1 All Habitats'!$B$3:$B$130,MATCH(R234,'G-1 All Habitats'!$A$3:$A$130,0)),"")</f>
        <v/>
      </c>
      <c r="T234" s="77" t="str">
        <f t="shared" si="44"/>
        <v/>
      </c>
      <c r="U234" s="78" t="str">
        <f t="shared" si="39"/>
        <v/>
      </c>
      <c r="V234" s="367" t="str">
        <f t="shared" si="34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5"/>
        <v/>
      </c>
      <c r="AE234" s="94"/>
      <c r="AF234" s="94"/>
      <c r="AG234" s="359" t="str">
        <f t="shared" si="40"/>
        <v/>
      </c>
      <c r="AH234" s="641" t="str">
        <f t="shared" si="41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2"/>
        <v/>
      </c>
      <c r="AL234" s="365" t="str">
        <f t="shared" si="43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6"/>
        <v/>
      </c>
      <c r="AO234" s="372"/>
      <c r="AP234" s="373"/>
    </row>
    <row r="235" spans="1:4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7"/>
        <v/>
      </c>
      <c r="R235" s="364" t="str">
        <f t="shared" si="38"/>
        <v/>
      </c>
      <c r="S235" s="655" t="str">
        <f>IFERROR(INDEX('G-1 All Habitats'!$B$3:$B$130,MATCH(R235,'G-1 All Habitats'!$A$3:$A$130,0)),"")</f>
        <v/>
      </c>
      <c r="T235" s="77" t="str">
        <f t="shared" si="44"/>
        <v/>
      </c>
      <c r="U235" s="78" t="str">
        <f t="shared" si="39"/>
        <v/>
      </c>
      <c r="V235" s="367" t="str">
        <f t="shared" si="34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5"/>
        <v/>
      </c>
      <c r="AE235" s="94"/>
      <c r="AF235" s="94"/>
      <c r="AG235" s="359" t="str">
        <f t="shared" si="40"/>
        <v/>
      </c>
      <c r="AH235" s="641" t="str">
        <f t="shared" si="41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2"/>
        <v/>
      </c>
      <c r="AL235" s="365" t="str">
        <f t="shared" si="43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6"/>
        <v/>
      </c>
      <c r="AO235" s="372"/>
      <c r="AP235" s="373"/>
    </row>
    <row r="236" spans="1:4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7"/>
        <v/>
      </c>
      <c r="R236" s="364" t="str">
        <f t="shared" si="38"/>
        <v/>
      </c>
      <c r="S236" s="655" t="str">
        <f>IFERROR(INDEX('G-1 All Habitats'!$B$3:$B$130,MATCH(R236,'G-1 All Habitats'!$A$3:$A$130,0)),"")</f>
        <v/>
      </c>
      <c r="T236" s="77" t="str">
        <f t="shared" si="44"/>
        <v/>
      </c>
      <c r="U236" s="78" t="str">
        <f t="shared" si="39"/>
        <v/>
      </c>
      <c r="V236" s="367" t="str">
        <f t="shared" si="34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5"/>
        <v/>
      </c>
      <c r="AE236" s="94"/>
      <c r="AF236" s="94"/>
      <c r="AG236" s="359" t="str">
        <f t="shared" si="40"/>
        <v/>
      </c>
      <c r="AH236" s="641" t="str">
        <f t="shared" si="41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2"/>
        <v/>
      </c>
      <c r="AL236" s="365" t="str">
        <f t="shared" si="43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6"/>
        <v/>
      </c>
      <c r="AO236" s="372"/>
      <c r="AP236" s="373"/>
    </row>
    <row r="237" spans="1:4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7"/>
        <v/>
      </c>
      <c r="R237" s="364" t="str">
        <f t="shared" si="38"/>
        <v/>
      </c>
      <c r="S237" s="655" t="str">
        <f>IFERROR(INDEX('G-1 All Habitats'!$B$3:$B$130,MATCH(R237,'G-1 All Habitats'!$A$3:$A$130,0)),"")</f>
        <v/>
      </c>
      <c r="T237" s="77" t="str">
        <f t="shared" si="44"/>
        <v/>
      </c>
      <c r="U237" s="78" t="str">
        <f t="shared" si="39"/>
        <v/>
      </c>
      <c r="V237" s="367" t="str">
        <f t="shared" si="34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5"/>
        <v/>
      </c>
      <c r="AE237" s="94"/>
      <c r="AF237" s="94"/>
      <c r="AG237" s="359" t="str">
        <f t="shared" si="40"/>
        <v/>
      </c>
      <c r="AH237" s="641" t="str">
        <f t="shared" si="41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2"/>
        <v/>
      </c>
      <c r="AL237" s="365" t="str">
        <f t="shared" si="43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6"/>
        <v/>
      </c>
      <c r="AO237" s="372"/>
      <c r="AP237" s="373"/>
    </row>
    <row r="238" spans="1:4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7"/>
        <v/>
      </c>
      <c r="R238" s="364" t="str">
        <f t="shared" si="38"/>
        <v/>
      </c>
      <c r="S238" s="655" t="str">
        <f>IFERROR(INDEX('G-1 All Habitats'!$B$3:$B$130,MATCH(R238,'G-1 All Habitats'!$A$3:$A$130,0)),"")</f>
        <v/>
      </c>
      <c r="T238" s="77" t="str">
        <f t="shared" si="44"/>
        <v/>
      </c>
      <c r="U238" s="78" t="str">
        <f t="shared" si="39"/>
        <v/>
      </c>
      <c r="V238" s="367" t="str">
        <f t="shared" si="34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5"/>
        <v/>
      </c>
      <c r="AE238" s="94"/>
      <c r="AF238" s="94"/>
      <c r="AG238" s="359" t="str">
        <f t="shared" si="40"/>
        <v/>
      </c>
      <c r="AH238" s="641" t="str">
        <f t="shared" si="41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2"/>
        <v/>
      </c>
      <c r="AL238" s="365" t="str">
        <f t="shared" si="43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6"/>
        <v/>
      </c>
      <c r="AO238" s="372"/>
      <c r="AP238" s="373"/>
    </row>
    <row r="239" spans="1:4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7"/>
        <v/>
      </c>
      <c r="R239" s="364" t="str">
        <f t="shared" si="38"/>
        <v/>
      </c>
      <c r="S239" s="655" t="str">
        <f>IFERROR(INDEX('G-1 All Habitats'!$B$3:$B$130,MATCH(R239,'G-1 All Habitats'!$A$3:$A$130,0)),"")</f>
        <v/>
      </c>
      <c r="T239" s="77" t="str">
        <f t="shared" si="44"/>
        <v/>
      </c>
      <c r="U239" s="78" t="str">
        <f t="shared" si="39"/>
        <v/>
      </c>
      <c r="V239" s="367" t="str">
        <f t="shared" si="34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5"/>
        <v/>
      </c>
      <c r="AE239" s="94"/>
      <c r="AF239" s="94"/>
      <c r="AG239" s="359" t="str">
        <f t="shared" si="40"/>
        <v/>
      </c>
      <c r="AH239" s="641" t="str">
        <f t="shared" si="41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2"/>
        <v/>
      </c>
      <c r="AL239" s="365" t="str">
        <f t="shared" si="43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6"/>
        <v/>
      </c>
      <c r="AO239" s="372"/>
      <c r="AP239" s="373"/>
    </row>
    <row r="240" spans="1:4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7"/>
        <v/>
      </c>
      <c r="R240" s="364" t="str">
        <f t="shared" si="38"/>
        <v/>
      </c>
      <c r="S240" s="655" t="str">
        <f>IFERROR(INDEX('G-1 All Habitats'!$B$3:$B$130,MATCH(R240,'G-1 All Habitats'!$A$3:$A$130,0)),"")</f>
        <v/>
      </c>
      <c r="T240" s="77" t="str">
        <f t="shared" si="44"/>
        <v/>
      </c>
      <c r="U240" s="78" t="str">
        <f t="shared" si="39"/>
        <v/>
      </c>
      <c r="V240" s="367" t="str">
        <f t="shared" si="34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5"/>
        <v/>
      </c>
      <c r="AE240" s="94"/>
      <c r="AF240" s="94"/>
      <c r="AG240" s="359" t="str">
        <f t="shared" si="40"/>
        <v/>
      </c>
      <c r="AH240" s="641" t="str">
        <f t="shared" si="41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2"/>
        <v/>
      </c>
      <c r="AL240" s="365" t="str">
        <f t="shared" si="43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6"/>
        <v/>
      </c>
      <c r="AO240" s="372"/>
      <c r="AP240" s="373"/>
    </row>
    <row r="241" spans="1:4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7"/>
        <v/>
      </c>
      <c r="R241" s="364" t="str">
        <f t="shared" si="38"/>
        <v/>
      </c>
      <c r="S241" s="655" t="str">
        <f>IFERROR(INDEX('G-1 All Habitats'!$B$3:$B$130,MATCH(R241,'G-1 All Habitats'!$A$3:$A$130,0)),"")</f>
        <v/>
      </c>
      <c r="T241" s="77" t="str">
        <f t="shared" si="44"/>
        <v/>
      </c>
      <c r="U241" s="78" t="str">
        <f t="shared" si="39"/>
        <v/>
      </c>
      <c r="V241" s="367" t="str">
        <f t="shared" si="34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5"/>
        <v/>
      </c>
      <c r="AE241" s="94"/>
      <c r="AF241" s="94"/>
      <c r="AG241" s="359" t="str">
        <f t="shared" si="40"/>
        <v/>
      </c>
      <c r="AH241" s="641" t="str">
        <f t="shared" si="41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2"/>
        <v/>
      </c>
      <c r="AL241" s="365" t="str">
        <f t="shared" si="43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6"/>
        <v/>
      </c>
      <c r="AO241" s="372"/>
      <c r="AP241" s="373"/>
    </row>
    <row r="242" spans="1:4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7"/>
        <v/>
      </c>
      <c r="R242" s="364" t="str">
        <f t="shared" si="38"/>
        <v/>
      </c>
      <c r="S242" s="655" t="str">
        <f>IFERROR(INDEX('G-1 All Habitats'!$B$3:$B$130,MATCH(R242,'G-1 All Habitats'!$A$3:$A$130,0)),"")</f>
        <v/>
      </c>
      <c r="T242" s="77" t="str">
        <f t="shared" si="44"/>
        <v/>
      </c>
      <c r="U242" s="78" t="str">
        <f t="shared" si="39"/>
        <v/>
      </c>
      <c r="V242" s="367" t="str">
        <f t="shared" si="34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5"/>
        <v/>
      </c>
      <c r="AE242" s="94"/>
      <c r="AF242" s="94"/>
      <c r="AG242" s="359" t="str">
        <f t="shared" si="40"/>
        <v/>
      </c>
      <c r="AH242" s="641" t="str">
        <f t="shared" si="41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2"/>
        <v/>
      </c>
      <c r="AL242" s="365" t="str">
        <f t="shared" si="43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6"/>
        <v/>
      </c>
      <c r="AO242" s="372"/>
      <c r="AP242" s="373"/>
    </row>
    <row r="243" spans="1:4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7"/>
        <v/>
      </c>
      <c r="R243" s="364" t="str">
        <f t="shared" si="38"/>
        <v/>
      </c>
      <c r="S243" s="655" t="str">
        <f>IFERROR(INDEX('G-1 All Habitats'!$B$3:$B$130,MATCH(R243,'G-1 All Habitats'!$A$3:$A$130,0)),"")</f>
        <v/>
      </c>
      <c r="T243" s="77" t="str">
        <f t="shared" si="44"/>
        <v/>
      </c>
      <c r="U243" s="78" t="str">
        <f t="shared" si="39"/>
        <v/>
      </c>
      <c r="V243" s="367" t="str">
        <f t="shared" si="34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5"/>
        <v/>
      </c>
      <c r="AE243" s="94"/>
      <c r="AF243" s="94"/>
      <c r="AG243" s="359" t="str">
        <f t="shared" si="40"/>
        <v/>
      </c>
      <c r="AH243" s="641" t="str">
        <f t="shared" si="41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2"/>
        <v/>
      </c>
      <c r="AL243" s="365" t="str">
        <f t="shared" si="43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6"/>
        <v/>
      </c>
      <c r="AO243" s="372"/>
      <c r="AP243" s="373"/>
    </row>
    <row r="244" spans="1:4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7"/>
        <v/>
      </c>
      <c r="R244" s="364" t="str">
        <f t="shared" si="38"/>
        <v/>
      </c>
      <c r="S244" s="655" t="str">
        <f>IFERROR(INDEX('G-1 All Habitats'!$B$3:$B$130,MATCH(R244,'G-1 All Habitats'!$A$3:$A$130,0)),"")</f>
        <v/>
      </c>
      <c r="T244" s="77" t="str">
        <f t="shared" si="44"/>
        <v/>
      </c>
      <c r="U244" s="78" t="str">
        <f t="shared" si="39"/>
        <v/>
      </c>
      <c r="V244" s="367" t="str">
        <f t="shared" si="34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5"/>
        <v/>
      </c>
      <c r="AE244" s="94"/>
      <c r="AF244" s="94"/>
      <c r="AG244" s="359" t="str">
        <f t="shared" si="40"/>
        <v/>
      </c>
      <c r="AH244" s="641" t="str">
        <f t="shared" si="41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2"/>
        <v/>
      </c>
      <c r="AL244" s="365" t="str">
        <f t="shared" si="43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6"/>
        <v/>
      </c>
      <c r="AO244" s="372"/>
      <c r="AP244" s="373"/>
    </row>
    <row r="245" spans="1:4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7"/>
        <v/>
      </c>
      <c r="R245" s="364" t="str">
        <f t="shared" si="38"/>
        <v/>
      </c>
      <c r="S245" s="655" t="str">
        <f>IFERROR(INDEX('G-1 All Habitats'!$B$3:$B$130,MATCH(R245,'G-1 All Habitats'!$A$3:$A$130,0)),"")</f>
        <v/>
      </c>
      <c r="T245" s="77" t="str">
        <f t="shared" si="44"/>
        <v/>
      </c>
      <c r="U245" s="78" t="str">
        <f t="shared" si="39"/>
        <v/>
      </c>
      <c r="V245" s="367" t="str">
        <f t="shared" si="34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5"/>
        <v/>
      </c>
      <c r="AE245" s="94"/>
      <c r="AF245" s="94"/>
      <c r="AG245" s="359" t="str">
        <f t="shared" si="40"/>
        <v/>
      </c>
      <c r="AH245" s="641" t="str">
        <f t="shared" si="41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2"/>
        <v/>
      </c>
      <c r="AL245" s="365" t="str">
        <f t="shared" si="43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6"/>
        <v/>
      </c>
      <c r="AO245" s="372"/>
      <c r="AP245" s="373"/>
    </row>
    <row r="246" spans="1:4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7"/>
        <v/>
      </c>
      <c r="R246" s="364" t="str">
        <f t="shared" si="38"/>
        <v/>
      </c>
      <c r="S246" s="655" t="str">
        <f>IFERROR(INDEX('G-1 All Habitats'!$B$3:$B$130,MATCH(R246,'G-1 All Habitats'!$A$3:$A$130,0)),"")</f>
        <v/>
      </c>
      <c r="T246" s="77" t="str">
        <f t="shared" si="44"/>
        <v/>
      </c>
      <c r="U246" s="78" t="str">
        <f t="shared" si="39"/>
        <v/>
      </c>
      <c r="V246" s="367" t="str">
        <f t="shared" si="34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5"/>
        <v/>
      </c>
      <c r="AE246" s="94"/>
      <c r="AF246" s="94"/>
      <c r="AG246" s="359" t="str">
        <f t="shared" si="40"/>
        <v/>
      </c>
      <c r="AH246" s="641" t="str">
        <f t="shared" si="41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2"/>
        <v/>
      </c>
      <c r="AL246" s="365" t="str">
        <f t="shared" si="43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6"/>
        <v/>
      </c>
      <c r="AO246" s="372"/>
      <c r="AP246" s="373"/>
    </row>
    <row r="247" spans="1:4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7"/>
        <v/>
      </c>
      <c r="R247" s="364" t="str">
        <f t="shared" si="38"/>
        <v/>
      </c>
      <c r="S247" s="655" t="str">
        <f>IFERROR(INDEX('G-1 All Habitats'!$B$3:$B$130,MATCH(R247,'G-1 All Habitats'!$A$3:$A$130,0)),"")</f>
        <v/>
      </c>
      <c r="T247" s="77" t="str">
        <f t="shared" si="44"/>
        <v/>
      </c>
      <c r="U247" s="78" t="str">
        <f t="shared" si="39"/>
        <v/>
      </c>
      <c r="V247" s="367" t="str">
        <f t="shared" si="34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5"/>
        <v/>
      </c>
      <c r="AE247" s="94"/>
      <c r="AF247" s="94"/>
      <c r="AG247" s="359" t="str">
        <f t="shared" si="40"/>
        <v/>
      </c>
      <c r="AH247" s="641" t="str">
        <f t="shared" si="41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2"/>
        <v/>
      </c>
      <c r="AL247" s="365" t="str">
        <f t="shared" si="43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6"/>
        <v/>
      </c>
      <c r="AO247" s="372"/>
      <c r="AP247" s="373"/>
    </row>
    <row r="248" spans="1:4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7"/>
        <v/>
      </c>
      <c r="R248" s="364" t="str">
        <f t="shared" si="38"/>
        <v/>
      </c>
      <c r="S248" s="655" t="str">
        <f>IFERROR(INDEX('G-1 All Habitats'!$B$3:$B$130,MATCH(R248,'G-1 All Habitats'!$A$3:$A$130,0)),"")</f>
        <v/>
      </c>
      <c r="T248" s="77" t="str">
        <f t="shared" si="44"/>
        <v/>
      </c>
      <c r="U248" s="78" t="str">
        <f t="shared" si="39"/>
        <v/>
      </c>
      <c r="V248" s="367" t="str">
        <f t="shared" si="34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5"/>
        <v/>
      </c>
      <c r="AE248" s="94"/>
      <c r="AF248" s="94"/>
      <c r="AG248" s="359" t="str">
        <f t="shared" si="40"/>
        <v/>
      </c>
      <c r="AH248" s="641" t="str">
        <f t="shared" si="41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2"/>
        <v/>
      </c>
      <c r="AL248" s="365" t="str">
        <f t="shared" si="43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6"/>
        <v/>
      </c>
      <c r="AO248" s="372"/>
      <c r="AP248" s="373"/>
    </row>
    <row r="249" spans="1:4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7"/>
        <v/>
      </c>
      <c r="R249" s="364" t="str">
        <f t="shared" si="38"/>
        <v/>
      </c>
      <c r="S249" s="655" t="str">
        <f>IFERROR(INDEX('G-1 All Habitats'!$B$3:$B$130,MATCH(R249,'G-1 All Habitats'!$A$3:$A$130,0)),"")</f>
        <v/>
      </c>
      <c r="T249" s="77" t="str">
        <f t="shared" si="44"/>
        <v/>
      </c>
      <c r="U249" s="78" t="str">
        <f t="shared" si="39"/>
        <v/>
      </c>
      <c r="V249" s="367" t="str">
        <f t="shared" si="34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5"/>
        <v/>
      </c>
      <c r="AE249" s="94"/>
      <c r="AF249" s="94"/>
      <c r="AG249" s="359" t="str">
        <f t="shared" si="40"/>
        <v/>
      </c>
      <c r="AH249" s="641" t="str">
        <f t="shared" si="41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2"/>
        <v/>
      </c>
      <c r="AL249" s="365" t="str">
        <f t="shared" si="43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6"/>
        <v/>
      </c>
      <c r="AO249" s="372"/>
      <c r="AP249" s="373"/>
    </row>
    <row r="250" spans="1:4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7"/>
        <v/>
      </c>
      <c r="R250" s="364" t="str">
        <f t="shared" si="38"/>
        <v/>
      </c>
      <c r="S250" s="655" t="str">
        <f>IFERROR(INDEX('G-1 All Habitats'!$B$3:$B$130,MATCH(R250,'G-1 All Habitats'!$A$3:$A$130,0)),"")</f>
        <v/>
      </c>
      <c r="T250" s="77" t="str">
        <f t="shared" si="44"/>
        <v/>
      </c>
      <c r="U250" s="78" t="str">
        <f t="shared" si="39"/>
        <v/>
      </c>
      <c r="V250" s="367" t="str">
        <f t="shared" si="34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5"/>
        <v/>
      </c>
      <c r="AE250" s="94"/>
      <c r="AF250" s="94"/>
      <c r="AG250" s="359" t="str">
        <f t="shared" si="40"/>
        <v/>
      </c>
      <c r="AH250" s="641" t="str">
        <f t="shared" si="41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2"/>
        <v/>
      </c>
      <c r="AL250" s="365" t="str">
        <f t="shared" si="43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6"/>
        <v/>
      </c>
      <c r="AO250" s="372"/>
      <c r="AP250" s="373"/>
    </row>
    <row r="251" spans="1:4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7"/>
        <v/>
      </c>
      <c r="R251" s="364" t="str">
        <f t="shared" si="38"/>
        <v/>
      </c>
      <c r="S251" s="655" t="str">
        <f>IFERROR(INDEX('G-1 All Habitats'!$B$3:$B$130,MATCH(R251,'G-1 All Habitats'!$A$3:$A$130,0)),"")</f>
        <v/>
      </c>
      <c r="T251" s="77" t="str">
        <f t="shared" si="44"/>
        <v/>
      </c>
      <c r="U251" s="78" t="str">
        <f t="shared" si="39"/>
        <v/>
      </c>
      <c r="V251" s="367" t="str">
        <f t="shared" si="34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5"/>
        <v/>
      </c>
      <c r="AE251" s="94"/>
      <c r="AF251" s="94"/>
      <c r="AG251" s="359" t="str">
        <f t="shared" si="40"/>
        <v/>
      </c>
      <c r="AH251" s="641" t="str">
        <f t="shared" si="41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2"/>
        <v/>
      </c>
      <c r="AL251" s="365" t="str">
        <f t="shared" si="43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6"/>
        <v/>
      </c>
      <c r="AO251" s="372"/>
      <c r="AP251" s="373"/>
    </row>
    <row r="252" spans="1:4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7"/>
        <v/>
      </c>
      <c r="R252" s="364" t="str">
        <f t="shared" si="38"/>
        <v/>
      </c>
      <c r="S252" s="655" t="str">
        <f>IFERROR(INDEX('G-1 All Habitats'!$B$3:$B$130,MATCH(R252,'G-1 All Habitats'!$A$3:$A$130,0)),"")</f>
        <v/>
      </c>
      <c r="T252" s="77" t="str">
        <f t="shared" si="44"/>
        <v/>
      </c>
      <c r="U252" s="78" t="str">
        <f t="shared" si="39"/>
        <v/>
      </c>
      <c r="V252" s="367" t="str">
        <f t="shared" si="34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5"/>
        <v/>
      </c>
      <c r="AE252" s="94"/>
      <c r="AF252" s="94"/>
      <c r="AG252" s="359" t="str">
        <f t="shared" si="40"/>
        <v/>
      </c>
      <c r="AH252" s="641" t="str">
        <f t="shared" si="41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2"/>
        <v/>
      </c>
      <c r="AL252" s="365" t="str">
        <f t="shared" si="43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6"/>
        <v/>
      </c>
      <c r="AO252" s="372"/>
      <c r="AP252" s="373"/>
    </row>
    <row r="253" spans="1:4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7"/>
        <v/>
      </c>
      <c r="R253" s="364" t="str">
        <f t="shared" si="38"/>
        <v/>
      </c>
      <c r="S253" s="655" t="str">
        <f>IFERROR(INDEX('G-1 All Habitats'!$B$3:$B$130,MATCH(R253,'G-1 All Habitats'!$A$3:$A$130,0)),"")</f>
        <v/>
      </c>
      <c r="T253" s="77" t="str">
        <f t="shared" si="44"/>
        <v/>
      </c>
      <c r="U253" s="78" t="str">
        <f t="shared" si="39"/>
        <v/>
      </c>
      <c r="V253" s="367" t="str">
        <f t="shared" si="34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5"/>
        <v/>
      </c>
      <c r="AE253" s="94"/>
      <c r="AF253" s="94"/>
      <c r="AG253" s="359" t="str">
        <f t="shared" si="40"/>
        <v/>
      </c>
      <c r="AH253" s="641" t="str">
        <f t="shared" si="41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2"/>
        <v/>
      </c>
      <c r="AL253" s="365" t="str">
        <f t="shared" si="43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6"/>
        <v/>
      </c>
      <c r="AO253" s="372"/>
      <c r="AP253" s="373"/>
    </row>
    <row r="254" spans="1:4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7"/>
        <v/>
      </c>
      <c r="R254" s="364" t="str">
        <f t="shared" si="38"/>
        <v/>
      </c>
      <c r="S254" s="655" t="str">
        <f>IFERROR(INDEX('G-1 All Habitats'!$B$3:$B$130,MATCH(R254,'G-1 All Habitats'!$A$3:$A$130,0)),"")</f>
        <v/>
      </c>
      <c r="T254" s="77" t="str">
        <f t="shared" si="44"/>
        <v/>
      </c>
      <c r="U254" s="78" t="str">
        <f t="shared" si="39"/>
        <v/>
      </c>
      <c r="V254" s="367" t="str">
        <f t="shared" si="34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5"/>
        <v/>
      </c>
      <c r="AE254" s="94"/>
      <c r="AF254" s="94"/>
      <c r="AG254" s="359" t="str">
        <f t="shared" si="40"/>
        <v/>
      </c>
      <c r="AH254" s="641" t="str">
        <f t="shared" si="41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2"/>
        <v/>
      </c>
      <c r="AL254" s="365" t="str">
        <f t="shared" si="43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6"/>
        <v/>
      </c>
      <c r="AO254" s="372"/>
      <c r="AP254" s="373"/>
    </row>
    <row r="255" spans="1:4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7"/>
        <v/>
      </c>
      <c r="R255" s="364" t="str">
        <f t="shared" si="38"/>
        <v/>
      </c>
      <c r="S255" s="655" t="str">
        <f>IFERROR(INDEX('G-1 All Habitats'!$B$3:$B$130,MATCH(R255,'G-1 All Habitats'!$A$3:$A$130,0)),"")</f>
        <v/>
      </c>
      <c r="T255" s="77" t="str">
        <f t="shared" si="44"/>
        <v/>
      </c>
      <c r="U255" s="78" t="str">
        <f t="shared" si="39"/>
        <v/>
      </c>
      <c r="V255" s="367" t="str">
        <f t="shared" si="34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5"/>
        <v/>
      </c>
      <c r="AE255" s="94"/>
      <c r="AF255" s="94"/>
      <c r="AG255" s="359" t="str">
        <f t="shared" si="40"/>
        <v/>
      </c>
      <c r="AH255" s="641" t="str">
        <f t="shared" si="41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2"/>
        <v/>
      </c>
      <c r="AL255" s="365" t="str">
        <f t="shared" si="43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6"/>
        <v/>
      </c>
      <c r="AO255" s="372"/>
      <c r="AP255" s="373"/>
    </row>
    <row r="256" spans="1:4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7"/>
        <v/>
      </c>
      <c r="R256" s="364" t="str">
        <f t="shared" si="38"/>
        <v/>
      </c>
      <c r="S256" s="655" t="str">
        <f>IFERROR(INDEX('G-1 All Habitats'!$B$3:$B$130,MATCH(R256,'G-1 All Habitats'!$A$3:$A$130,0)),"")</f>
        <v/>
      </c>
      <c r="T256" s="77" t="str">
        <f t="shared" si="44"/>
        <v/>
      </c>
      <c r="U256" s="78" t="str">
        <f t="shared" si="39"/>
        <v/>
      </c>
      <c r="V256" s="367" t="str">
        <f t="shared" si="34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5"/>
        <v/>
      </c>
      <c r="AE256" s="94"/>
      <c r="AF256" s="94"/>
      <c r="AG256" s="359" t="str">
        <f t="shared" si="40"/>
        <v/>
      </c>
      <c r="AH256" s="641" t="str">
        <f t="shared" si="41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2"/>
        <v/>
      </c>
      <c r="AL256" s="365" t="str">
        <f t="shared" si="43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6"/>
        <v/>
      </c>
      <c r="AO256" s="372"/>
      <c r="AP256" s="373"/>
    </row>
    <row r="257" spans="1:42" ht="15.75" thickBot="1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7"/>
        <v/>
      </c>
      <c r="R257" s="364" t="str">
        <f t="shared" si="38"/>
        <v/>
      </c>
      <c r="S257" s="730" t="str">
        <f>IFERROR(INDEX('G-1 All Habitats'!$B$3:$B$130,MATCH(R257,'G-1 All Habitats'!$A$3:$A$130,0)),"")</f>
        <v/>
      </c>
      <c r="T257" s="731" t="str">
        <f t="shared" si="44"/>
        <v/>
      </c>
      <c r="U257" s="727" t="str">
        <f t="shared" si="39"/>
        <v/>
      </c>
      <c r="V257" s="732" t="str">
        <f t="shared" si="34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5"/>
        <v/>
      </c>
      <c r="AE257" s="556"/>
      <c r="AF257" s="556"/>
      <c r="AG257" s="724" t="str">
        <f t="shared" si="40"/>
        <v/>
      </c>
      <c r="AH257" s="641" t="str">
        <f t="shared" si="41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2"/>
        <v/>
      </c>
      <c r="AL257" s="718" t="str">
        <f t="shared" si="43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6"/>
        <v/>
      </c>
      <c r="AO257" s="721"/>
      <c r="AP257" s="736"/>
    </row>
    <row r="258" spans="1:42" ht="15.75" thickBot="1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0.47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 ca="1">(SUM(AN12:AN257))</f>
        <v>3.4532379571279996</v>
      </c>
      <c r="AO258" s="722"/>
      <c r="AP258" s="722"/>
    </row>
    <row r="259" spans="1:42" ht="18.75">
      <c r="V259" s="1027" t="str">
        <f>IF(V258&lt;&gt;'A-1 Site Habitat Baseline'!T259,"Error - Area of habitat enhancement must match the area from sheet A1","")</f>
        <v/>
      </c>
      <c r="W259" s="1027"/>
      <c r="X259" s="1027"/>
      <c r="Y259" s="1027"/>
      <c r="Z259" s="1027"/>
      <c r="AA259" s="1027"/>
    </row>
    <row r="260" spans="1:42"/>
    <row r="261" spans="1:42"/>
    <row r="262" spans="1:42"/>
    <row r="263" spans="1:42"/>
    <row r="264" spans="1:42"/>
    <row r="265" spans="1:42"/>
    <row r="266" spans="1:4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/>
    <dataValidation type="list" allowBlank="1" showInputMessage="1" showErrorMessage="1" sqref="Y12:Y257">
      <formula1>INDIRECT(C12)</formula1>
    </dataValidation>
    <dataValidation type="list" allowBlank="1" showInputMessage="1" showErrorMessage="1" sqref="R12:R257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AA12:AA257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5" zeroHeight="1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/>
    <row r="2" spans="1:43" ht="19.5" customHeight="1" thickBot="1">
      <c r="D2" s="1047" t="str">
        <f>IF(Start!F12="","",Start!F12)</f>
        <v>Cotmoor Solar farm</v>
      </c>
      <c r="E2" s="1048"/>
      <c r="F2" s="1049"/>
    </row>
    <row r="3" spans="1:43" ht="15" customHeight="1">
      <c r="D3" s="1041" t="str">
        <f ca="1">MID(CELL("filename",C1),FIND("]",CELL("filename",C1))+1,256)</f>
        <v>D-1 Off Site Habitat Baseline</v>
      </c>
      <c r="E3" s="1042"/>
      <c r="F3" s="1043"/>
    </row>
    <row r="4" spans="1:43" ht="19.899999999999999" customHeight="1" thickBot="1">
      <c r="D4" s="1044"/>
      <c r="E4" s="1045"/>
      <c r="F4" s="1046"/>
    </row>
    <row r="5" spans="1:43" ht="24" customHeight="1"/>
    <row r="6" spans="1:43" ht="15.75" customHeight="1"/>
    <row r="7" spans="1:43" ht="16.149999999999999" customHeight="1">
      <c r="D7" s="166"/>
      <c r="E7" s="166"/>
      <c r="F7" s="166"/>
      <c r="M7" s="165"/>
    </row>
    <row r="8" spans="1:43" ht="22.9" customHeight="1" thickBot="1">
      <c r="D8" s="166"/>
      <c r="E8" s="166"/>
      <c r="F8" s="166"/>
    </row>
    <row r="9" spans="1:43" s="46" customFormat="1" ht="30" customHeight="1" thickBot="1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0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0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.75" thickBot="1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.75" thickBot="1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>
      <c r="R260" s="211"/>
      <c r="S260" s="211"/>
      <c r="T260" s="211"/>
      <c r="U260" s="211"/>
      <c r="V260" s="211"/>
      <c r="W260" s="211"/>
      <c r="X260" s="211"/>
    </row>
    <row r="261" spans="1:43">
      <c r="D261" s="166"/>
      <c r="E261" s="166"/>
      <c r="F261" s="166"/>
    </row>
    <row r="262" spans="1:43">
      <c r="D262" s="166"/>
      <c r="E262" s="166"/>
      <c r="F262" s="166"/>
    </row>
    <row r="263" spans="1:43">
      <c r="D263" s="166"/>
      <c r="E263" s="166"/>
      <c r="F263" s="166"/>
    </row>
    <row r="264" spans="1:43">
      <c r="D264" s="166"/>
      <c r="E264" s="166"/>
      <c r="F264" s="166"/>
    </row>
    <row r="265" spans="1:43">
      <c r="D265" s="166"/>
      <c r="E265" s="166"/>
      <c r="F265" s="166"/>
    </row>
    <row r="266" spans="1:43">
      <c r="D266" s="166"/>
      <c r="E266" s="166"/>
      <c r="F266" s="166"/>
    </row>
    <row r="267" spans="1:43">
      <c r="D267" s="166"/>
      <c r="E267" s="166"/>
      <c r="F267" s="166"/>
    </row>
    <row r="268" spans="1:43">
      <c r="D268" s="166"/>
      <c r="E268" s="166"/>
      <c r="F268" s="166"/>
    </row>
    <row r="269" spans="1:43">
      <c r="D269" s="166"/>
      <c r="E269" s="166"/>
      <c r="F269" s="166"/>
    </row>
    <row r="270" spans="1:43">
      <c r="D270" s="166"/>
      <c r="E270" s="166"/>
      <c r="F270" s="166"/>
    </row>
    <row r="271" spans="1:43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/>
    <dataValidation type="list" allowBlank="1" showInputMessage="1" showErrorMessage="1" sqref="F11:F258">
      <formula1>INDIRECT(A11)</formula1>
    </dataValidation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.75" thickBot="1"/>
    <row r="2" spans="1:29" ht="25.9" customHeight="1" thickBot="1">
      <c r="D2" s="1047" t="str">
        <f>IF(Start!F12="","",Start!F12)</f>
        <v>Cotmoor Solar farm</v>
      </c>
      <c r="E2" s="1048"/>
      <c r="G2" s="378"/>
      <c r="H2" s="122"/>
      <c r="O2" s="1004" t="str">
        <f>IF(OR(COUNTIF($O$11:O256,"*30+*")&gt;0,COUNTIF($S$11:S256,"*30+*")&gt;0),"Note; Habitat selected has a time to target condition greater than 30 years. Non standard agreement may be required.","")</f>
        <v/>
      </c>
      <c r="P2" s="1004"/>
      <c r="Q2" s="1004"/>
      <c r="R2" s="1004"/>
      <c r="S2" s="1004"/>
      <c r="T2" s="1004"/>
    </row>
    <row r="3" spans="1:29" ht="19.899999999999999" customHeight="1">
      <c r="D3" s="1041" t="str">
        <f ca="1">MID(CELL("filename",C1),FIND("]",CELL("filename",C1))+1,256)</f>
        <v>D-2 Off Site Habitat Creation</v>
      </c>
      <c r="E3" s="1042"/>
      <c r="G3" s="378"/>
      <c r="H3" s="122"/>
      <c r="O3" s="1004"/>
      <c r="P3" s="1004"/>
      <c r="Q3" s="1004"/>
      <c r="R3" s="1004"/>
      <c r="S3" s="1004"/>
      <c r="T3" s="1004"/>
    </row>
    <row r="4" spans="1:29" ht="15.75" customHeight="1" thickBot="1">
      <c r="D4" s="1044"/>
      <c r="E4" s="1045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5" customHeight="1">
      <c r="M5" s="37"/>
      <c r="N5" s="268"/>
      <c r="O5" s="1004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04"/>
      <c r="Q5" s="1004"/>
      <c r="R5" s="1004"/>
      <c r="S5" s="1004"/>
      <c r="T5" s="1004"/>
      <c r="U5" s="672"/>
      <c r="V5" s="672"/>
    </row>
    <row r="6" spans="1:29" ht="31.15" customHeight="1">
      <c r="O6" s="1004"/>
      <c r="P6" s="1004"/>
      <c r="Q6" s="1004"/>
      <c r="R6" s="1004"/>
      <c r="S6" s="1004"/>
      <c r="T6" s="1004"/>
    </row>
    <row r="7" spans="1:29" ht="15.75" thickBot="1"/>
    <row r="8" spans="1:29" ht="15.75" thickBot="1">
      <c r="D8" s="1051" t="s">
        <v>990</v>
      </c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3"/>
      <c r="Z8" s="122"/>
      <c r="AA8" s="122"/>
    </row>
    <row r="9" spans="1:29" s="46" customFormat="1" ht="15" customHeight="1" thickBot="1">
      <c r="B9" s="35"/>
      <c r="C9" s="35"/>
      <c r="D9" s="970" t="s">
        <v>372</v>
      </c>
      <c r="E9" s="972" t="s">
        <v>987</v>
      </c>
      <c r="F9" s="972" t="s">
        <v>987</v>
      </c>
      <c r="G9" s="1054" t="s">
        <v>139</v>
      </c>
      <c r="H9" s="970" t="s">
        <v>127</v>
      </c>
      <c r="I9" s="968" t="s">
        <v>140</v>
      </c>
      <c r="J9" s="1056" t="s">
        <v>141</v>
      </c>
      <c r="K9" s="968" t="s">
        <v>140</v>
      </c>
      <c r="L9" s="1050" t="s">
        <v>362</v>
      </c>
      <c r="M9" s="1050"/>
      <c r="N9" s="1050"/>
      <c r="O9" s="1050" t="s">
        <v>1292</v>
      </c>
      <c r="P9" s="1050"/>
      <c r="Q9" s="1050"/>
      <c r="R9" s="1050"/>
      <c r="S9" s="1050"/>
      <c r="T9" s="1050"/>
      <c r="U9" s="1050" t="s">
        <v>1293</v>
      </c>
      <c r="V9" s="1050"/>
      <c r="W9" s="1050"/>
      <c r="X9" s="1050"/>
      <c r="Y9" s="1058" t="s">
        <v>1027</v>
      </c>
      <c r="Z9" s="1058"/>
      <c r="AA9" s="1040" t="s">
        <v>993</v>
      </c>
      <c r="AB9" s="1040" t="s">
        <v>145</v>
      </c>
      <c r="AC9" s="1040"/>
    </row>
    <row r="10" spans="1:29" ht="42.75">
      <c r="A10" s="165" t="s">
        <v>1298</v>
      </c>
      <c r="C10" s="35" t="s">
        <v>1291</v>
      </c>
      <c r="D10" s="971"/>
      <c r="E10" s="973"/>
      <c r="F10" s="973"/>
      <c r="G10" s="1055"/>
      <c r="H10" s="971"/>
      <c r="I10" s="969"/>
      <c r="J10" s="1057"/>
      <c r="K10" s="969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0"/>
      <c r="AB10" s="169" t="s">
        <v>991</v>
      </c>
      <c r="AC10" s="171" t="s">
        <v>992</v>
      </c>
    </row>
    <row r="11" spans="1:29" ht="15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5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5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5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5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5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5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5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5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5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5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5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5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5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5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5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5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5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5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5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5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5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5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5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5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5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5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5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5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5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5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5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5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5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5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5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5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5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5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5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5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5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5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5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5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5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5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5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5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5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5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5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5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5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5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5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5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5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5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5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5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5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5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5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5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5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5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5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5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5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5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5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5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5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5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5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5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5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5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5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5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5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5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5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5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5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5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5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5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5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5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5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5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5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5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5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5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5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5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5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5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5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5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5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5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5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5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5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5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5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5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5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5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5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5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5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5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5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5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5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5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5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5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5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5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5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5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5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5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5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5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5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5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5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5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5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5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5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5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5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5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5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5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5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5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5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5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5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5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5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5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5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5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5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5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5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5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5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5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5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5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5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5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5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5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5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5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5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5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5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5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5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5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5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5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5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5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5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5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5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5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5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5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5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5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5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5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5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5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5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5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5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5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5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5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5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5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5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5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5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5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5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5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5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5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5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5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5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5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5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5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5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5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5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5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5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5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5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5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5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5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5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5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5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5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5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5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5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5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5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5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5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5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5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5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5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5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5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5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5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5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5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5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5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5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5.75" thickBot="1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5.75" thickBot="1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5"/>
    <row r="259" spans="5:27" ht="15" hidden="1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5" hidden="1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5" hidden="1"/>
    <row r="262" spans="5:27" ht="15" hidden="1"/>
    <row r="263" spans="5:27" ht="15" hidden="1"/>
    <row r="264" spans="5:27" ht="15" hidden="1"/>
    <row r="265" spans="5:27" ht="15" hidden="1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>
      <formula1>INDIRECT(C11)</formula1>
    </dataValidation>
    <dataValidation allowBlank="1" showErrorMessage="1" errorTitle="Invalid Habitat" error="Select from List" sqref="F11:F256"/>
    <dataValidation type="list" allowBlank="1" showInputMessage="1" showErrorMessage="1" sqref="J11:J256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'G-3 Multipliers'!$L$4:$L$6</xm:f>
          </x14:formula1>
          <xm:sqref>L11:L256</xm:sqref>
        </x14:dataValidation>
        <x14:dataValidation type="list" allowBlank="1" showInputMessage="1" showErrorMessage="1">
          <x14:formula1>
            <xm:f>'G-3 Multipliers'!$S$4:$S$9</xm:f>
          </x14:formula1>
          <xm:sqref>Y11:Y256</xm:sqref>
        </x14:dataValidation>
        <x14:dataValidation type="list" allowBlank="1" showInputMessage="1" showErrorMessage="1">
          <x14:formula1>
            <xm:f>'G-1 All Habitats'!$AF$3:$AF$15</xm:f>
          </x14:formula1>
          <xm:sqref>D11:D256</xm:sqref>
        </x14:dataValidation>
        <x14:dataValidation type="list" allowBlank="1" showInputMessage="1" showErrorMessage="1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5" zeroHeight="1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/>
    <row r="2" spans="1:44" ht="19.899999999999999" customHeight="1" thickBot="1">
      <c r="E2" s="884" t="str">
        <f>IF(Start!$F$12="","",Start!$F$12)</f>
        <v>Cotmoor Solar farm</v>
      </c>
      <c r="F2" s="885"/>
      <c r="G2" s="886"/>
      <c r="AD2" s="1066" t="str">
        <f>IF(OR(COUNTIF($AD$12:AD257,"*30+*")&gt;0,COUNTIF(AH12:AH257,"*30+*")&gt;0),"Note; Habitat selected has a time to target condition greater than 30 years. Non standard agreement may be required.","")</f>
        <v/>
      </c>
      <c r="AE2" s="1066"/>
      <c r="AF2" s="1066"/>
      <c r="AG2" s="1066"/>
      <c r="AH2" s="1066"/>
      <c r="AI2" s="1066"/>
    </row>
    <row r="3" spans="1:44" ht="15.75" customHeight="1" thickBot="1">
      <c r="E3" s="1059" t="str">
        <f ca="1">MID(CELL("filename",E1),FIND("]",CELL("filename",E1))+1,256)</f>
        <v>D-3 Off Site Habitat Enhancment</v>
      </c>
      <c r="F3" s="1060"/>
      <c r="G3" s="1061"/>
      <c r="AD3" s="1066"/>
      <c r="AE3" s="1066"/>
      <c r="AF3" s="1066"/>
      <c r="AG3" s="1066"/>
      <c r="AH3" s="1066"/>
      <c r="AI3" s="1066"/>
    </row>
    <row r="4" spans="1:44" ht="15.75" customHeight="1" thickBot="1">
      <c r="E4" s="1059"/>
      <c r="F4" s="1060"/>
      <c r="G4" s="1061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4" ht="15.75" customHeight="1">
      <c r="AD6" s="1039"/>
      <c r="AE6" s="1039"/>
      <c r="AF6" s="1039"/>
      <c r="AG6" s="1039"/>
      <c r="AH6" s="1039"/>
      <c r="AI6" s="1039"/>
    </row>
    <row r="7" spans="1:44">
      <c r="F7" s="166"/>
      <c r="G7" s="165"/>
    </row>
    <row r="8" spans="1:44" ht="15.75" thickBot="1"/>
    <row r="9" spans="1:44" ht="15.75" thickBot="1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1" t="s">
        <v>990</v>
      </c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3"/>
    </row>
    <row r="10" spans="1:44" ht="30.6" customHeight="1" thickBot="1">
      <c r="E10" s="339"/>
      <c r="F10" s="1051" t="s">
        <v>1003</v>
      </c>
      <c r="G10" s="1052"/>
      <c r="H10" s="1052"/>
      <c r="I10" s="1052"/>
      <c r="J10" s="1052"/>
      <c r="K10" s="1052"/>
      <c r="L10" s="1052"/>
      <c r="M10" s="1052"/>
      <c r="N10" s="1052"/>
      <c r="O10" s="1053"/>
      <c r="P10" s="340"/>
      <c r="Q10" s="1064" t="s">
        <v>1312</v>
      </c>
      <c r="R10" s="1065"/>
      <c r="S10" s="662"/>
      <c r="T10" s="1062" t="s">
        <v>1065</v>
      </c>
      <c r="U10" s="1063"/>
      <c r="V10" s="1072" t="s">
        <v>139</v>
      </c>
      <c r="W10" s="1070" t="s">
        <v>127</v>
      </c>
      <c r="X10" s="1070" t="s">
        <v>140</v>
      </c>
      <c r="Y10" s="1070" t="s">
        <v>141</v>
      </c>
      <c r="Z10" s="1068" t="s">
        <v>140</v>
      </c>
      <c r="AA10" s="1062" t="s">
        <v>362</v>
      </c>
      <c r="AB10" s="1067"/>
      <c r="AC10" s="1067"/>
      <c r="AD10" s="1074" t="s">
        <v>988</v>
      </c>
      <c r="AE10" s="1075"/>
      <c r="AF10" s="1075"/>
      <c r="AG10" s="1075"/>
      <c r="AH10" s="1075"/>
      <c r="AI10" s="1076"/>
      <c r="AJ10" s="1074" t="s">
        <v>989</v>
      </c>
      <c r="AK10" s="1075"/>
      <c r="AL10" s="1075"/>
      <c r="AM10" s="1076"/>
      <c r="AN10" s="1062" t="s">
        <v>1027</v>
      </c>
      <c r="AO10" s="1063"/>
      <c r="AP10" s="1077" t="s">
        <v>993</v>
      </c>
      <c r="AQ10" s="1062" t="s">
        <v>145</v>
      </c>
      <c r="AR10" s="1063"/>
    </row>
    <row r="11" spans="1:44" ht="51.6" customHeight="1" thickBot="1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3"/>
      <c r="W11" s="1071"/>
      <c r="X11" s="1071"/>
      <c r="Y11" s="1071"/>
      <c r="Z11" s="1069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8"/>
      <c r="AQ11" s="668" t="s">
        <v>991</v>
      </c>
      <c r="AR11" s="669" t="s">
        <v>992</v>
      </c>
    </row>
    <row r="12" spans="1:44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5.75" thickBot="1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>
      <c r="V260" s="35" t="str">
        <f>IF(V259&lt;&gt;'D-1 Off Site Habitat Baseline'!T259,"Error - Area of habitat enhancement must match the area from sheet D1","")</f>
        <v/>
      </c>
    </row>
    <row r="261" spans="1:44"/>
    <row r="262" spans="1:44"/>
    <row r="263" spans="1:44"/>
    <row r="264" spans="1:44"/>
    <row r="265" spans="1:44"/>
    <row r="266" spans="1:44"/>
    <row r="267" spans="1:44"/>
    <row r="268" spans="1:44"/>
    <row r="269" spans="1:44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>
      <formula1>INDIRECT(P12)</formula1>
    </dataValidation>
    <dataValidation allowBlank="1" showErrorMessage="1" errorTitle="Invalid Habitat" error="Select from List" sqref="S12:S258"/>
    <dataValidation type="list" allowBlank="1" showInputMessage="1" showErrorMessage="1" sqref="Y12:Y258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'G-3 Multipliers'!$L$4:$L$6</xm:f>
          </x14:formula1>
          <xm:sqref>AA12:AA258</xm:sqref>
        </x14:dataValidation>
        <x14:dataValidation type="list" allowBlank="1" showInputMessage="1" showErrorMessage="1">
          <x14:formula1>
            <xm:f>'G-3 Multipliers'!$S$4:$S$9</xm:f>
          </x14:formula1>
          <xm:sqref>AN12:AN258</xm:sqref>
        </x14:dataValidation>
        <x14:dataValidation type="list" allowBlank="1" showInputMessage="1" showErrorMessage="1">
          <x14:formula1>
            <xm:f>'G-1 All Habitats'!$AF$3:$AF$15</xm:f>
          </x14:formula1>
          <xm:sqref>Q12:Q258</xm:sqref>
        </x14:dataValidation>
        <x14:dataValidation type="list" allowBlank="1" showInputMessage="1" showErrorMessage="1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 activeCell="V13" sqref="V13"/>
    </sheetView>
  </sheetViews>
  <sheetFormatPr defaultColWidth="8.85546875" defaultRowHeight="0" customHeight="1" zeroHeight="1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/>
    <row r="2" spans="2:38" ht="20.25" customHeight="1" thickBot="1">
      <c r="B2" s="884" t="str">
        <f>IF([1]Start!$F$12="","",[1]Start!$F$12)</f>
        <v/>
      </c>
      <c r="C2" s="885"/>
      <c r="D2" s="886"/>
    </row>
    <row r="3" spans="2:38" ht="20.45" customHeight="1">
      <c r="B3" s="293" t="str">
        <f ca="1">MID(CELL("filename",A1),FIND("]",CELL("filename",A1))+1,256)</f>
        <v>B-1 Site Hedge Baseline</v>
      </c>
      <c r="C3" s="294"/>
      <c r="D3" s="295"/>
    </row>
    <row r="4" spans="2:38" ht="10.9" customHeight="1" thickBot="1">
      <c r="B4" s="296"/>
      <c r="C4" s="297"/>
      <c r="D4" s="298"/>
    </row>
    <row r="5" spans="2:38" ht="15.75" customHeight="1"/>
    <row r="6" spans="2:38" ht="20.45" customHeight="1"/>
    <row r="7" spans="2:38" ht="45" customHeight="1" thickBot="1">
      <c r="B7" s="166"/>
      <c r="C7" s="166"/>
      <c r="E7" s="165"/>
    </row>
    <row r="8" spans="2:38" s="46" customFormat="1" ht="28.5" customHeight="1" thickBot="1">
      <c r="B8" s="44"/>
      <c r="C8" s="1074" t="s">
        <v>1009</v>
      </c>
      <c r="D8" s="1075"/>
      <c r="E8" s="1076"/>
      <c r="F8" s="1050" t="s">
        <v>981</v>
      </c>
      <c r="G8" s="1050"/>
      <c r="H8" s="1050" t="s">
        <v>982</v>
      </c>
      <c r="I8" s="1050"/>
      <c r="J8" s="1050" t="s">
        <v>362</v>
      </c>
      <c r="K8" s="1050"/>
      <c r="L8" s="1050"/>
      <c r="M8" s="1079" t="s">
        <v>1059</v>
      </c>
      <c r="N8" s="215" t="s">
        <v>1010</v>
      </c>
      <c r="O8" s="35"/>
      <c r="P8" s="1074" t="s">
        <v>1021</v>
      </c>
      <c r="Q8" s="1075"/>
      <c r="R8" s="1075"/>
      <c r="S8" s="1075"/>
      <c r="T8" s="1075"/>
      <c r="U8" s="1076"/>
      <c r="V8" s="1074" t="s">
        <v>145</v>
      </c>
      <c r="W8" s="1076"/>
    </row>
    <row r="9" spans="2:38" ht="45.75" customHeight="1" thickBot="1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30">
      <c r="B10" s="175">
        <v>1</v>
      </c>
      <c r="C10" s="288"/>
      <c r="D10" s="288" t="s">
        <v>1218</v>
      </c>
      <c r="E10" s="195">
        <v>0.15</v>
      </c>
      <c r="F10" s="290" t="str">
        <f>IF(D10="","",VLOOKUP(D10,'G-6 Hedgerow Data'!$B$2:$AG$15,2,FALSE))</f>
        <v>V.High</v>
      </c>
      <c r="G10" s="179">
        <f>IF(D10="","",VLOOKUP(D10,'G-6 Hedgerow Data'!$B$2:$AG$15,3,FALSE))</f>
        <v>8</v>
      </c>
      <c r="H10" s="180" t="s">
        <v>1</v>
      </c>
      <c r="I10" s="179">
        <f>IFERROR(VLOOKUP(H10,'G-1 All Habitats'!$Z$2:$AA$9,2,FALSE),"")</f>
        <v>2</v>
      </c>
      <c r="J10" s="180" t="s">
        <v>970</v>
      </c>
      <c r="K10" s="182" t="str">
        <f>IF(J10="","",IF(VLOOKUP(J10,'G-3 Multipliers'!$L$3:$N$6,2,FALSE)=0,"Spatial Data Missing",VLOOKUP(J10,'G-3 Multipliers'!$L$3:$N$6,2,FALSE)))</f>
        <v>Low Strategic Significance</v>
      </c>
      <c r="L10" s="271">
        <f>IF(J10="","",IF(VLOOKUP(J10,'G-3 Multipliers'!$L$3:$N$6,3,FALSE)=0,"Spatial Data Missing",VLOOKUP(J10,'G-3 Multipliers'!$L$3:$N$6,3,FALSE)))</f>
        <v>1</v>
      </c>
      <c r="M10" s="185" t="str">
        <f>IF(D10="","",VLOOKUP(D10,'G-6 Hedgerow Data'!$B$1:$AH$15,33,FALSE))</f>
        <v>Like for like</v>
      </c>
      <c r="N10" s="218">
        <f>IFERROR(E10*G10*I10*L10,"")</f>
        <v>2.4</v>
      </c>
      <c r="O10" s="44"/>
      <c r="P10" s="196">
        <v>0.15</v>
      </c>
      <c r="Q10" s="288"/>
      <c r="R10" s="302">
        <f>IFERROR(P10*G10*I10*L10,"")</f>
        <v>2.4</v>
      </c>
      <c r="S10" s="302">
        <f>IFERROR(Q10*G10*I10*L10,"")</f>
        <v>0</v>
      </c>
      <c r="T10" s="302">
        <f>IF(D10="","",IF(E10-P10-Q10=0&lt;0,"Error in lengths",IF(P10+Q10&gt;E10,"Error in Lengths",E10-P10-Q10)))</f>
        <v>0</v>
      </c>
      <c r="U10" s="303">
        <f>IF(OR(E10="",N10=""),"",IF(E10-P10-Q10=0&lt;0,"Error in Lengths",IF(P10+Q10&gt;E10,"Error in Lengths",N10-R10-S10)))</f>
        <v>0</v>
      </c>
      <c r="V10" s="221"/>
      <c r="W10" s="222"/>
      <c r="AE10" s="198" t="b">
        <f t="shared" ref="AE10:AE73" si="0">IF(D10="","",IF(P10&gt;0,TRUE,FALSE))</f>
        <v>1</v>
      </c>
      <c r="AF10" s="198" t="b">
        <f t="shared" ref="AF10:AF73" si="1">IF(D10="","",IF(Q10&gt;0,TRUE,FALSE))</f>
        <v>0</v>
      </c>
      <c r="AH10" s="198">
        <v>1</v>
      </c>
      <c r="AJ10" s="198">
        <f t="array" ref="AJ10">IFERROR(INDEX($AH$10:$AH$258, MATCH(0, IF(TRUE=$AE$10:$AE$258, COUNTIF($AJ9:$AJ$9, $AH$10:$AH$258), ""), 0)),"")</f>
        <v>1</v>
      </c>
      <c r="AK10" s="198">
        <f t="array" ref="AK10">IFERROR(INDEX($AH$10:$AH$258, MATCH(0, IF(TRUE=$AF$10:$AF$258, COUNTIF($AK9:$AK$9, $AH$10:$AH$258), ""), 0)),"")</f>
        <v>3</v>
      </c>
      <c r="AL10" s="35" t="str">
        <f>IFERROR(INDEX('G-6 Hedgerow Data'!$BJ$3:$BJ$15,MATCH(D10,'G-6 Hedgerow Data'!$B$3:$B$15,0)),"")</f>
        <v>Hedgecond1</v>
      </c>
    </row>
    <row r="11" spans="2:38" ht="30">
      <c r="B11" s="175">
        <v>2</v>
      </c>
      <c r="C11" s="288"/>
      <c r="D11" s="288" t="s">
        <v>326</v>
      </c>
      <c r="E11" s="195">
        <v>0.35</v>
      </c>
      <c r="F11" s="290" t="str">
        <f>IF(D11="","",VLOOKUP(D11,'G-6 Hedgerow Data'!$B$2:$AG$15,2,FALSE))</f>
        <v>Medium</v>
      </c>
      <c r="G11" s="179">
        <f>IF(D11="","",VLOOKUP(D11,'G-6 Hedgerow Data'!$B$2:$AG$15,3,FALSE))</f>
        <v>4</v>
      </c>
      <c r="H11" s="180" t="s">
        <v>1</v>
      </c>
      <c r="I11" s="179">
        <f>IFERROR(VLOOKUP(H11,'G-1 All Habitats'!$Z$2:$AA$9,2,FALSE),"")</f>
        <v>2</v>
      </c>
      <c r="J11" s="180" t="s">
        <v>970</v>
      </c>
      <c r="K11" s="189" t="str">
        <f>IF(J11="","",IF(VLOOKUP(J11,'G-3 Multipliers'!$L$3:$N$6,2,FALSE)=0,"Spatial Data Missing",VLOOKUP(J11,'G-3 Multipliers'!$L$3:$N$6,2,FALSE)))</f>
        <v>Low Strategic Significance</v>
      </c>
      <c r="L11" s="271">
        <f>IF(J11="","",IF(VLOOKUP(J11,'G-3 Multipliers'!$L$3:$N$6,3,FALSE)=0,"Spatial Data Missing",VLOOKUP(J11,'G-3 Multipliers'!$L$3:$N$6,3,FALSE)))</f>
        <v>1</v>
      </c>
      <c r="M11" s="185" t="str">
        <f>IF(D11="","",VLOOKUP(D11,'G-6 Hedgerow Data'!$B$1:$AH$15,33,FALSE))</f>
        <v>Like for like or better</v>
      </c>
      <c r="N11" s="218">
        <f t="shared" ref="N11:N74" si="2">IFERROR(E11*G11*I11*L11,"")</f>
        <v>2.8</v>
      </c>
      <c r="O11" s="44"/>
      <c r="P11" s="196">
        <v>0.35</v>
      </c>
      <c r="Q11" s="288"/>
      <c r="R11" s="302">
        <f t="shared" ref="R11:R74" si="3">IFERROR(P11*G11*I11*L11,"")</f>
        <v>2.8</v>
      </c>
      <c r="S11" s="302">
        <f t="shared" ref="S11:S74" si="4">IFERROR(Q11*G11*I11*L11,"")</f>
        <v>0</v>
      </c>
      <c r="T11" s="302">
        <f t="shared" ref="T11:T74" si="5">IF(D11="","",IF(E11-P11-Q11=0&lt;0,"Error in lengths",IF(P11+Q11&gt;E11,"Error in Lengths",E11-P11-Q11)))</f>
        <v>0</v>
      </c>
      <c r="U11" s="303">
        <f t="shared" ref="U11:U74" si="6">IF(OR(E11="",N11=""),"",IF(E11-P11-Q11=0&lt;0,"Error in Lengths",IF(P11+Q11&gt;E11,"Error in Lengths",N11-R11-S11)))</f>
        <v>0</v>
      </c>
      <c r="V11" s="192"/>
      <c r="W11" s="193"/>
      <c r="AE11" s="198" t="b">
        <f t="shared" si="0"/>
        <v>1</v>
      </c>
      <c r="AF11" s="198" t="b">
        <f t="shared" si="1"/>
        <v>0</v>
      </c>
      <c r="AH11" s="198">
        <v>2</v>
      </c>
      <c r="AJ11" s="198">
        <f t="array" ref="AJ11">IFERROR(INDEX($AH$10:$AH$258, MATCH(0, IF(TRUE=$AE$10:$AE$258, COUNTIF($AJ$9:$AJ10, $AH$10:$AH$258), ""), 0)),"")</f>
        <v>2</v>
      </c>
      <c r="AK11" s="198">
        <f t="array" ref="AK11">IFERROR(INDEX($AH$10:$AH$258, MATCH(0, IF(TRUE=$AF$10:$AF$258, COUNTIF($AK$9:$AK10, $AH$10:$AH$258), ""), 0)),"")</f>
        <v>5</v>
      </c>
      <c r="AL11" s="35" t="str">
        <f>IFERROR(INDEX('G-6 Hedgerow Data'!$BJ$3:$BJ$15,MATCH(D11,'G-6 Hedgerow Data'!$B$3:$B$15,0)),"")</f>
        <v>Hedgecond1</v>
      </c>
    </row>
    <row r="12" spans="2:38" ht="30">
      <c r="B12" s="175">
        <v>3</v>
      </c>
      <c r="C12" s="288"/>
      <c r="D12" s="288" t="s">
        <v>324</v>
      </c>
      <c r="E12" s="195">
        <v>5.5</v>
      </c>
      <c r="F12" s="290" t="str">
        <f>IF(D12="","",VLOOKUP(D12,'G-6 Hedgerow Data'!$B$2:$AG$15,2,FALSE))</f>
        <v>Low</v>
      </c>
      <c r="G12" s="179">
        <f>IF(D12="","",VLOOKUP(D12,'G-6 Hedgerow Data'!$B$2:$AG$15,3,FALSE))</f>
        <v>2</v>
      </c>
      <c r="H12" s="180" t="s">
        <v>1</v>
      </c>
      <c r="I12" s="179">
        <f>IFERROR(VLOOKUP(H12,'G-1 All Habitats'!$Z$2:$AA$9,2,FALSE),"")</f>
        <v>2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85" t="str">
        <f>IF(D12="","",VLOOKUP(D12,'G-6 Hedgerow Data'!$B$1:$AH$15,33,FALSE))</f>
        <v>Same distinctiveness band or better</v>
      </c>
      <c r="N12" s="218">
        <f t="shared" si="2"/>
        <v>22</v>
      </c>
      <c r="O12" s="44"/>
      <c r="P12" s="196">
        <v>4.8099999999999996</v>
      </c>
      <c r="Q12" s="288">
        <v>0.69</v>
      </c>
      <c r="R12" s="302">
        <f t="shared" si="3"/>
        <v>19.239999999999998</v>
      </c>
      <c r="S12" s="302">
        <f t="shared" si="4"/>
        <v>2.76</v>
      </c>
      <c r="T12" s="302">
        <f t="shared" si="5"/>
        <v>4.4408920985006262E-16</v>
      </c>
      <c r="U12" s="303">
        <f t="shared" si="6"/>
        <v>1.7763568394002505E-15</v>
      </c>
      <c r="V12" s="192" t="s">
        <v>1524</v>
      </c>
      <c r="W12" s="193"/>
      <c r="AE12" s="198" t="b">
        <f t="shared" si="0"/>
        <v>1</v>
      </c>
      <c r="AF12" s="198" t="b">
        <f t="shared" si="1"/>
        <v>1</v>
      </c>
      <c r="AH12" s="198">
        <v>3</v>
      </c>
      <c r="AJ12" s="198">
        <f t="array" ref="AJ12">IFERROR(INDEX($AH$10:$AH$258, MATCH(0, IF(TRUE=$AE$10:$AE$258, COUNTIF($AJ$9:$AJ11, $AH$10:$AH$258), ""), 0)),"")</f>
        <v>3</v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>Hedgecond1</v>
      </c>
    </row>
    <row r="13" spans="2:38" ht="30">
      <c r="B13" s="175">
        <v>4</v>
      </c>
      <c r="C13" s="288"/>
      <c r="D13" s="288" t="s">
        <v>325</v>
      </c>
      <c r="E13" s="195">
        <v>0.99</v>
      </c>
      <c r="F13" s="290" t="str">
        <f>IF(D13="","",VLOOKUP(D13,'G-6 Hedgerow Data'!$B$2:$AG$15,2,FALSE))</f>
        <v>Medium</v>
      </c>
      <c r="G13" s="179">
        <f>IF(D13="","",VLOOKUP(D13,'G-6 Hedgerow Data'!$B$2:$AG$15,3,FALSE))</f>
        <v>4</v>
      </c>
      <c r="H13" s="180" t="s">
        <v>1</v>
      </c>
      <c r="I13" s="179">
        <f>IFERROR(VLOOKUP(H13,'G-1 All Habitats'!$Z$2:$AA$9,2,FALSE),"")</f>
        <v>2</v>
      </c>
      <c r="J13" s="180" t="s">
        <v>970</v>
      </c>
      <c r="K13" s="189" t="str">
        <f>IF(J13="","",IF(VLOOKUP(J13,'G-3 Multipliers'!$L$3:$N$6,2,FALSE)=0,"Spatial Data Missing",VLOOKUP(J13,'G-3 Multipliers'!$L$3:$N$6,2,FALSE)))</f>
        <v>Low Strategic Significance</v>
      </c>
      <c r="L13" s="271">
        <f>IF(J13="","",IF(VLOOKUP(J13,'G-3 Multipliers'!$L$3:$N$6,3,FALSE)=0,"Spatial Data Missing",VLOOKUP(J13,'G-3 Multipliers'!$L$3:$N$6,3,FALSE)))</f>
        <v>1</v>
      </c>
      <c r="M13" s="185" t="str">
        <f>IF(D13="","",VLOOKUP(D13,'G-6 Hedgerow Data'!$B$1:$AH$15,33,FALSE))</f>
        <v>Like for like or better</v>
      </c>
      <c r="N13" s="218">
        <f t="shared" si="2"/>
        <v>7.92</v>
      </c>
      <c r="O13" s="44"/>
      <c r="P13" s="196">
        <v>0.99</v>
      </c>
      <c r="Q13" s="288"/>
      <c r="R13" s="302">
        <f t="shared" si="3"/>
        <v>7.92</v>
      </c>
      <c r="S13" s="302">
        <f t="shared" si="4"/>
        <v>0</v>
      </c>
      <c r="T13" s="302">
        <f t="shared" si="5"/>
        <v>0</v>
      </c>
      <c r="U13" s="303">
        <f t="shared" si="6"/>
        <v>0</v>
      </c>
      <c r="V13" s="192"/>
      <c r="W13" s="193"/>
      <c r="AE13" s="198" t="b">
        <f t="shared" si="0"/>
        <v>1</v>
      </c>
      <c r="AF13" s="198" t="b">
        <f t="shared" si="1"/>
        <v>0</v>
      </c>
      <c r="AH13" s="198">
        <v>4</v>
      </c>
      <c r="AJ13" s="198">
        <f t="array" ref="AJ13">IFERROR(INDEX($AH$10:$AH$258, MATCH(0, IF(TRUE=$AE$10:$AE$258, COUNTIF($AJ$9:$AJ12, $AH$10:$AH$258), ""), 0)),"")</f>
        <v>4</v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>Hedgecond1</v>
      </c>
    </row>
    <row r="14" spans="2:38" ht="30">
      <c r="B14" s="175">
        <v>5</v>
      </c>
      <c r="C14" s="288"/>
      <c r="D14" s="288" t="s">
        <v>324</v>
      </c>
      <c r="E14" s="195">
        <v>1.34</v>
      </c>
      <c r="F14" s="290" t="str">
        <f>IF(D14="","",VLOOKUP(D14,'G-6 Hedgerow Data'!$B$2:$AG$15,2,FALSE))</f>
        <v>Low</v>
      </c>
      <c r="G14" s="179">
        <f>IF(D14="","",VLOOKUP(D14,'G-6 Hedgerow Data'!$B$2:$AG$15,3,FALSE))</f>
        <v>2</v>
      </c>
      <c r="H14" s="180" t="s">
        <v>1</v>
      </c>
      <c r="I14" s="179">
        <f>IFERROR(VLOOKUP(H14,'G-1 All Habitats'!$Z$2:$AA$9,2,FALSE),"")</f>
        <v>2</v>
      </c>
      <c r="J14" s="180" t="s">
        <v>970</v>
      </c>
      <c r="K14" s="189" t="str">
        <f>IF(J14="","",IF(VLOOKUP(J14,'G-3 Multipliers'!$L$3:$N$6,2,FALSE)=0,"Spatial Data Missing",VLOOKUP(J14,'G-3 Multipliers'!$L$3:$N$6,2,FALSE)))</f>
        <v>Low Strategic Significance</v>
      </c>
      <c r="L14" s="271">
        <f>IF(J14="","",IF(VLOOKUP(J14,'G-3 Multipliers'!$L$3:$N$6,3,FALSE)=0,"Spatial Data Missing",VLOOKUP(J14,'G-3 Multipliers'!$L$3:$N$6,3,FALSE)))</f>
        <v>1</v>
      </c>
      <c r="M14" s="185" t="str">
        <f>IF(D14="","",VLOOKUP(D14,'G-6 Hedgerow Data'!$B$1:$AH$15,33,FALSE))</f>
        <v>Same distinctiveness band or better</v>
      </c>
      <c r="N14" s="218">
        <f t="shared" si="2"/>
        <v>5.36</v>
      </c>
      <c r="O14" s="44"/>
      <c r="P14" s="196">
        <v>0.77</v>
      </c>
      <c r="Q14" s="288">
        <v>0.56999999999999995</v>
      </c>
      <c r="R14" s="302">
        <f t="shared" si="3"/>
        <v>3.08</v>
      </c>
      <c r="S14" s="302">
        <f t="shared" si="4"/>
        <v>2.2799999999999998</v>
      </c>
      <c r="T14" s="302">
        <f t="shared" si="5"/>
        <v>1.1102230246251565E-16</v>
      </c>
      <c r="U14" s="303">
        <f t="shared" si="6"/>
        <v>4.4408920985006262E-16</v>
      </c>
      <c r="V14" s="192" t="s">
        <v>1525</v>
      </c>
      <c r="W14" s="193"/>
      <c r="AE14" s="198" t="b">
        <f t="shared" si="0"/>
        <v>1</v>
      </c>
      <c r="AF14" s="198" t="b">
        <f t="shared" si="1"/>
        <v>1</v>
      </c>
      <c r="AH14" s="198">
        <v>5</v>
      </c>
      <c r="AJ14" s="198">
        <f t="array" ref="AJ14">IFERROR(INDEX($AH$10:$AH$258, MATCH(0, IF(TRUE=$AE$10:$AE$258, COUNTIF($AJ$9:$AJ13, $AH$10:$AH$258), ""), 0)),"")</f>
        <v>5</v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>Hedgecond1</v>
      </c>
    </row>
    <row r="15" spans="2:38" ht="15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5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5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5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5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5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5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5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5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5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5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5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5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5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5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5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5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5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5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5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5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5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5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5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5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5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5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5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5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5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5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5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5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5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5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5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5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5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5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5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5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5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5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5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5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5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5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5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5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5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5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5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5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5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5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5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5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5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5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5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5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5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5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5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5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5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5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5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5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5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5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5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5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5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5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5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5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5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5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5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5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5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5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5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5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5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5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5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5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5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5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5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5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5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5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5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5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5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5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5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5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5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5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5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5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5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5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5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5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5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5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5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5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5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5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5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5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5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5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5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5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5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5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5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5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5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5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5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5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5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5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5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5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5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5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5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5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5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5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5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5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5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5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5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5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5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5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5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5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5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5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5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5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5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5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5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5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5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5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5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5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5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5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5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5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5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5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5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5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5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5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5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5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5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5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5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5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5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5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5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5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5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5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5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5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5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5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5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5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5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5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5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5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5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5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5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5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5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5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5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5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5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5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5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5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5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5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5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5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5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5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5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5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5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5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5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5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5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5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5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5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5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5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5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5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5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5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5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5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5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5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5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5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5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5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5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5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5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5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5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5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5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.75" thickBot="1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.75" thickBot="1">
      <c r="D258" s="751"/>
      <c r="E258" s="750">
        <f>SUM(E10:E257)</f>
        <v>8.33</v>
      </c>
      <c r="M258" s="751"/>
      <c r="N258" s="430">
        <f>SUM(N10:N257)</f>
        <v>40.479999999999997</v>
      </c>
      <c r="O258" s="211"/>
      <c r="P258" s="212">
        <f t="shared" ref="P258:U258" si="28">SUM(P10:P257)</f>
        <v>7.07</v>
      </c>
      <c r="Q258" s="213">
        <f t="shared" si="28"/>
        <v>1.2599999999999998</v>
      </c>
      <c r="R258" s="213">
        <f t="shared" si="28"/>
        <v>35.44</v>
      </c>
      <c r="S258" s="213">
        <f t="shared" si="28"/>
        <v>5.0399999999999991</v>
      </c>
      <c r="T258" s="213">
        <f t="shared" si="28"/>
        <v>5.5511151231257827E-16</v>
      </c>
      <c r="U258" s="214">
        <f t="shared" si="28"/>
        <v>2.2204460492503131E-15</v>
      </c>
    </row>
    <row r="259" spans="2:38" ht="15">
      <c r="O259" s="211"/>
      <c r="P259" s="211"/>
      <c r="Q259" s="211"/>
      <c r="R259" s="211"/>
      <c r="S259" s="211"/>
      <c r="T259" s="211"/>
      <c r="U259" s="211"/>
    </row>
    <row r="260" spans="2:38" ht="15">
      <c r="B260" s="166"/>
      <c r="C260" s="166"/>
    </row>
    <row r="261" spans="2:38" ht="15">
      <c r="B261" s="166"/>
      <c r="C261" s="166"/>
    </row>
    <row r="262" spans="2:38" ht="15">
      <c r="B262" s="166"/>
      <c r="C262" s="166"/>
    </row>
    <row r="263" spans="2:38" ht="15">
      <c r="B263" s="166"/>
      <c r="C263" s="166"/>
    </row>
    <row r="264" spans="2:38" ht="15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X12" sqref="X12"/>
    </sheetView>
  </sheetViews>
  <sheetFormatPr defaultColWidth="0" defaultRowHeight="0" customHeight="1" zeroHeight="1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/>
    <row r="2" spans="2:33" ht="21.6" customHeight="1" thickBot="1">
      <c r="B2" s="901" t="str">
        <f>IF([1]Start!F12="","",[1]Start!F12)</f>
        <v/>
      </c>
      <c r="C2" s="902"/>
      <c r="D2" s="903"/>
    </row>
    <row r="3" spans="2:33" ht="15" customHeight="1">
      <c r="B3" s="1083" t="str">
        <f ca="1">MID(CELL("filename",A1),FIND("]",CELL("filename",A1))+1,256)</f>
        <v>B-2 Site Hedge Creation</v>
      </c>
      <c r="C3" s="1084"/>
      <c r="D3" s="1085"/>
      <c r="M3" s="1004" t="str">
        <f>IF(OR(COUNTIF($M$12:M259,"*30+*")&gt;0,COUNTIF($Q$12:Q259,"*30+*")&gt;0),"Note; Habitat selected has a time to target condition greater than 30 years. Non standard agreement may be required.","")</f>
        <v/>
      </c>
      <c r="N3" s="1004"/>
      <c r="O3" s="1004"/>
      <c r="P3" s="1004"/>
      <c r="Q3" s="1004"/>
      <c r="R3" s="1004"/>
    </row>
    <row r="4" spans="2:33" ht="15.75" customHeight="1" thickBot="1">
      <c r="B4" s="1086"/>
      <c r="C4" s="1087"/>
      <c r="D4" s="1088"/>
      <c r="M4" s="1004"/>
      <c r="N4" s="1004"/>
      <c r="O4" s="1004"/>
      <c r="P4" s="1004"/>
      <c r="Q4" s="1004"/>
      <c r="R4" s="1004"/>
    </row>
    <row r="5" spans="2:33" ht="15.75" customHeight="1">
      <c r="M5" s="1004"/>
      <c r="N5" s="1004"/>
      <c r="O5" s="1004"/>
      <c r="P5" s="1004"/>
      <c r="Q5" s="1004"/>
      <c r="R5" s="1004"/>
    </row>
    <row r="6" spans="2:33" ht="15.75" customHeight="1">
      <c r="M6" s="675"/>
      <c r="N6" s="675"/>
      <c r="O6" s="675"/>
      <c r="P6" s="675"/>
      <c r="Q6" s="675"/>
    </row>
    <row r="7" spans="2:33" ht="15.75" customHeight="1">
      <c r="B7" s="166"/>
      <c r="C7" s="166"/>
      <c r="M7" s="675"/>
      <c r="N7" s="675"/>
      <c r="O7" s="675"/>
      <c r="P7" s="675"/>
      <c r="Q7" s="675"/>
    </row>
    <row r="8" spans="2:33" ht="15"/>
    <row r="9" spans="2:33" ht="19.899999999999999" customHeight="1" thickBot="1"/>
    <row r="10" spans="2:33" ht="31.5" customHeight="1" thickBot="1">
      <c r="B10" s="166"/>
      <c r="C10" s="166"/>
      <c r="D10" s="1074" t="s">
        <v>1079</v>
      </c>
      <c r="E10" s="1076"/>
      <c r="F10" s="1074" t="s">
        <v>981</v>
      </c>
      <c r="G10" s="1076"/>
      <c r="H10" s="1074" t="s">
        <v>982</v>
      </c>
      <c r="I10" s="1076"/>
      <c r="J10" s="1074" t="s">
        <v>362</v>
      </c>
      <c r="K10" s="1075"/>
      <c r="L10" s="1076"/>
      <c r="M10" s="1074" t="s">
        <v>988</v>
      </c>
      <c r="N10" s="1075"/>
      <c r="O10" s="1075"/>
      <c r="P10" s="1075"/>
      <c r="Q10" s="1075"/>
      <c r="R10" s="1076"/>
      <c r="S10" s="1074" t="s">
        <v>1293</v>
      </c>
      <c r="T10" s="1075"/>
      <c r="U10" s="1075"/>
      <c r="V10" s="1076"/>
      <c r="W10" s="1079" t="s">
        <v>1033</v>
      </c>
      <c r="X10" s="1064" t="s">
        <v>145</v>
      </c>
      <c r="Y10" s="1065"/>
    </row>
    <row r="11" spans="2:33" ht="42.75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30">
      <c r="B12" s="608">
        <v>1</v>
      </c>
      <c r="C12" s="289"/>
      <c r="D12" s="280" t="s">
        <v>322</v>
      </c>
      <c r="E12" s="217">
        <v>1.26</v>
      </c>
      <c r="F12" s="290" t="str">
        <f>IF(D12="","",VLOOKUP(D12,'G-6 Hedgerow Data'!$B$2:$AG$15,2,FALSE))</f>
        <v>High</v>
      </c>
      <c r="G12" s="179">
        <f>IF(D12="","",VLOOKUP(D12,'G-6 Hedgerow Data'!$B$2:$AG$15,3,FALSE))</f>
        <v>6</v>
      </c>
      <c r="H12" s="180" t="s">
        <v>1</v>
      </c>
      <c r="I12" s="179">
        <f>IFERROR(VLOOKUP(H12,'G-1 All Habitats'!$Z$2:$AA$9,2,FALSE),"")</f>
        <v>2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78">
        <f>IF(OR(D12="",H12=""),"",(INDEX('G-6 Hedgerow Data'!$E$3:$I$15,MATCH(D12,'G-6 Hedgerow Data'!$B$3:$B$15,0),MATCH(H12,'G-6 Hedgerow Data'!$E$2:$I$2,0))))</f>
        <v>10</v>
      </c>
      <c r="N12" s="272">
        <v>0</v>
      </c>
      <c r="O12" s="272">
        <v>0</v>
      </c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73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10</v>
      </c>
      <c r="R12" s="274">
        <f>IF(M12="","",IF(LEFT(P12,5)="Error","Check Data",VLOOKUP(Q12,TemporalMultipliers,3,FALSE)))</f>
        <v>0.70028227419999989</v>
      </c>
      <c r="S12" s="178" t="str">
        <f>IF(D12="","",VLOOKUP(D12,'G-6 Hedgerow Data'!$B$3:$AG$15,31,FALSE))</f>
        <v>Low</v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89" t="str">
        <f>(IF(AND(T12="Standard difficulty applied",M12&gt;N12),S12,IF(AND(T12="Low Difficulty - only applicable if all habitat created before losses",Q12&lt;=0),"Low",S12)))</f>
        <v>Low</v>
      </c>
      <c r="V12" s="179">
        <f>IF(D12="","",VLOOKUP(S12,'G-3 Multipliers'!$P$3:$Q$6,2,FALSE))</f>
        <v>1</v>
      </c>
      <c r="W12" s="286">
        <f>IFERROR(E12*G12*I12*L12*R12*V12,"")</f>
        <v>10.588267985903999</v>
      </c>
      <c r="X12" s="190" t="s">
        <v>1526</v>
      </c>
      <c r="Y12" s="191"/>
      <c r="AG12" s="35" t="str">
        <f>IFERROR(INDEX('G-6 Hedgerow Data'!$BJ$3:$BJ$15,MATCH(D12,'G-6 Hedgerow Data'!$B$3:$B$15,0)),"")</f>
        <v>Hedgecond1</v>
      </c>
    </row>
    <row r="13" spans="2:33" ht="15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5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5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5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5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5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5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5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5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5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5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5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5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5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5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5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5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5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5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5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5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5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5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5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5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5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5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5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5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5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5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5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5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5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5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5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5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5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5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5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5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5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5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5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5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5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5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5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5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5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5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5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5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5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5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5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5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5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5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5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5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5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5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5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5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5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5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5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5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5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5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5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5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5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5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5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5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5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5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5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5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5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5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5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5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5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5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5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5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5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5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5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5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5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5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5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5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5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5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5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5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5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5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5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5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5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5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5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5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5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5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5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5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5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5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5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5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5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5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5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5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5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5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5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5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5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5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5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5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5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5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5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5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5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5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5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5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5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5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5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5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5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5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5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5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5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5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5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5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5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5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5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5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5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5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5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5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5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5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5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5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5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5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5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5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5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5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5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5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5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5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5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5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5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5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5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5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5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5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5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5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5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5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5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5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5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5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5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5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5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5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5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5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5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5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5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5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5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5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5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5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5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5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5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5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5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5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5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5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5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5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5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5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5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5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5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5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5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5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5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5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5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5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5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5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5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5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5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5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5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5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5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5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5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5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5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5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5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5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5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5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5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5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5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5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5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5.75" thickBot="1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>
      <c r="B260" s="51"/>
      <c r="C260" s="51"/>
      <c r="D260" s="440"/>
      <c r="E260" s="210">
        <f>SUM(E12:E259)</f>
        <v>1.26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10.588267985903999</v>
      </c>
      <c r="X260" s="51"/>
      <c r="Y260" s="51"/>
    </row>
    <row r="261" spans="2:33" ht="28.9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5"/>
    <row r="264" spans="2:33" ht="15"/>
    <row r="265" spans="2:33" ht="15"/>
    <row r="266" spans="2:33" ht="15"/>
    <row r="267" spans="2:33" ht="15"/>
    <row r="268" spans="2:33" ht="15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Z12" sqref="Z12"/>
    </sheetView>
  </sheetViews>
  <sheetFormatPr defaultColWidth="0" defaultRowHeight="0" customHeight="1" zeroHeight="1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/>
    <row r="2" spans="2:46" ht="19.899999999999999" customHeight="1" thickBot="1">
      <c r="B2" s="1093" t="str">
        <f>IF(Start!F12="","",Start!F12)</f>
        <v>Cotmoor Solar farm</v>
      </c>
      <c r="C2" s="1094"/>
      <c r="D2" s="1095"/>
      <c r="O2" s="166"/>
      <c r="X2" s="1004" t="str">
        <f ca="1">IF(OR(COUNTIF($X$12:X257,"*30+*")&gt;0,COUNTIF($AB$12:AB257,"*30+*")&gt;0),"Note; Habitat selected has a time to target condition greater than 30 years. Non standard agreement may be required.","")</f>
        <v/>
      </c>
      <c r="Y2" s="1004"/>
      <c r="Z2" s="1004"/>
      <c r="AA2" s="1004"/>
      <c r="AB2" s="1004"/>
      <c r="AC2" s="1004"/>
    </row>
    <row r="3" spans="2:46" ht="21" customHeight="1">
      <c r="B3" s="1083" t="str">
        <f ca="1">MID(CELL("filename",A1),FIND("]",CELL("filename",A1))+1,256)</f>
        <v>B-3 Site Hedge Enhancement</v>
      </c>
      <c r="C3" s="1084"/>
      <c r="D3" s="1085"/>
      <c r="X3" s="1004"/>
      <c r="Y3" s="1004"/>
      <c r="Z3" s="1004"/>
      <c r="AA3" s="1004"/>
      <c r="AB3" s="1004"/>
      <c r="AC3" s="1004"/>
    </row>
    <row r="4" spans="2:46" ht="15.75" customHeight="1" thickBot="1">
      <c r="B4" s="1086"/>
      <c r="C4" s="1087"/>
      <c r="D4" s="1088"/>
      <c r="V4" s="37"/>
      <c r="W4" s="268"/>
      <c r="X4" s="1004"/>
      <c r="Y4" s="1004"/>
      <c r="Z4" s="1004"/>
      <c r="AA4" s="1004"/>
      <c r="AB4" s="1004"/>
      <c r="AC4" s="1004"/>
      <c r="AD4" s="268"/>
      <c r="AE4" s="268"/>
      <c r="AF4" s="268"/>
      <c r="AG4" s="268"/>
      <c r="AH4" s="268"/>
      <c r="AI4" s="268"/>
      <c r="AJ4" s="268"/>
    </row>
    <row r="5" spans="2:46" ht="15.75" customHeight="1">
      <c r="X5" s="675"/>
      <c r="Y5" s="675"/>
      <c r="Z5" s="675"/>
      <c r="AA5" s="675"/>
      <c r="AB5" s="675"/>
    </row>
    <row r="6" spans="2:46" ht="15.75" customHeight="1">
      <c r="X6" s="675"/>
      <c r="Y6" s="675"/>
      <c r="Z6" s="675"/>
      <c r="AA6" s="675"/>
      <c r="AB6" s="675"/>
    </row>
    <row r="7" spans="2:46" ht="15">
      <c r="B7" s="166"/>
      <c r="C7" s="166"/>
      <c r="M7" s="165"/>
    </row>
    <row r="8" spans="2:46" ht="19.899999999999999" customHeight="1" thickBot="1"/>
    <row r="9" spans="2:46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15" customHeight="1" thickBot="1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0" t="s">
        <v>127</v>
      </c>
      <c r="R10" s="968"/>
      <c r="S10" s="1056" t="s">
        <v>141</v>
      </c>
      <c r="T10" s="968"/>
      <c r="U10" s="1058" t="s">
        <v>362</v>
      </c>
      <c r="V10" s="1058"/>
      <c r="W10" s="1058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050" t="s">
        <v>1033</v>
      </c>
      <c r="AI10" s="1065" t="s">
        <v>145</v>
      </c>
      <c r="AJ10" s="1058"/>
    </row>
    <row r="11" spans="2:46" ht="61.5" customHeigh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0"/>
      <c r="N11" s="608" t="s">
        <v>1007</v>
      </c>
      <c r="O11" s="606" t="s">
        <v>360</v>
      </c>
      <c r="P11" s="1050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30">
      <c r="B12" s="270">
        <f>'B-1 Site Hedge Baseline'!AK10</f>
        <v>3</v>
      </c>
      <c r="C12" s="182" t="str">
        <f ca="1">IF(B12="","",IF(ISNA(VLOOKUP($B12,'B-1 Site Hedge Baseline'!$B$1:$L$257,3,FALSE)),"",(VLOOKUP($B12,'B-1 Site Hedge Baseline'!$B$1:$L$257,3,FALSE))))</f>
        <v>Native Hedgerow</v>
      </c>
      <c r="D12" s="182">
        <f ca="1">IF(B12="","",IF(ISNA(VLOOKUP($B12,'B-1 Site Hedge Baseline'!$B$1:$L$257,4,FALSE)),"",(VLOOKUP($B12,'B-1 Site Hedge Baseline'!$B$1:$L$257,4,FALSE))))</f>
        <v>5.5</v>
      </c>
      <c r="E12" s="182" t="str">
        <f ca="1">IF(B12="","",IF(ISNA(VLOOKUP($B12,'B-1 Site Hedge Baseline'!$B$1:$L$257,5,FALSE)),"",(VLOOKUP($B12,'B-1 Site Hedge Baseline'!$B$1:$L$257,5,FALSE))))</f>
        <v>Low</v>
      </c>
      <c r="F12" s="182">
        <f ca="1">IF(B12="","",IF(ISNA(VLOOKUP($B12,'B-1 Site Hedge Baseline'!$B$1:$L$257,6,FALSE)),"",(VLOOKUP($B12,'B-1 Site Hedge Baseline'!$B$1:$L$257,6,FALSE))))</f>
        <v>2</v>
      </c>
      <c r="G12" s="182" t="str">
        <f ca="1">IF(B12="","",IF(ISNA(VLOOKUP($B12,'B-1 Site Hedge Baseline'!$B$1:$L$257,7,FALSE)),"",(VLOOKUP($B12,'B-1 Site Hedge Baseline'!$B$1:$L$257,7,FALSE))))</f>
        <v>Moderate</v>
      </c>
      <c r="H12" s="182">
        <f ca="1">IF(B12="","",IF(ISNA(VLOOKUP($B12,'B-1 Site Hedge Baseline'!$B$1:$L$257,8,FALSE)),"",(VLOOKUP($B12,'B-1 Site Hedge Baseline'!$B$1:$L$257,8,FALSE))))</f>
        <v>2</v>
      </c>
      <c r="I12" s="182" t="str">
        <f ca="1">IF(B12="","",IF(ISNA(VLOOKUP($B12,'B-1 Site Hedge Baseline'!$B$1:$L$257,10,FALSE)),"",(VLOOKUP($B12,'B-1 Site Hedge Baseline'!$B$1:$L$257,10,FALSE))))</f>
        <v>Low Strategic Significance</v>
      </c>
      <c r="J12" s="182">
        <f ca="1">IF(B12="","",IF(ISNA(VLOOKUP($B12,'B-1 Site Hedge Baseline'!$B$1:$L$257,11,FALSE)),"",(VLOOKUP($B12,'B-1 Site Hedge Baseline'!$B$1:$L$257,11,FALSE))))</f>
        <v>1</v>
      </c>
      <c r="K12" s="182">
        <f ca="1">IF(B12="","",IF(ISNA(VLOOKUP($B12,'B-1 Site Hedge Baseline'!$B$1:$U$257,13,FALSE)),"",(VLOOKUP($B12,'B-1 Site Hedge Baseline'!$B$1:$U$257,13,FALSE))))</f>
        <v>22</v>
      </c>
      <c r="L12" s="183" t="str">
        <f ca="1">IF(B12="","",IF(ISNA(VLOOKUP($B12,'B-1 Site Hedge Baseline'!$B$1:$U$257,12,FALSE)),"",(VLOOKUP($B12,'B-1 Site Hedge Baseline'!$B$1:$U$257,12,FALSE))))</f>
        <v>Same distinctiveness band or better</v>
      </c>
      <c r="M12" s="689" t="str">
        <f t="shared" ref="M12:M77" ca="1" si="0">IF(B12="","",C12)</f>
        <v>Native Hedgerow</v>
      </c>
      <c r="N12" s="178" t="str">
        <f ca="1">IFERROR(IF(B12="","",INDEX('G-6 Hedgerow Data'!$AN$3:$AZ$15,MATCH(C12,'G-6 Hedgerow Data'!$AM$3:$AM$15,0),MATCH(M12,'G-6 Hedgerow Data'!$AN$2:$AZ$2,0))),"")</f>
        <v>Low - Low</v>
      </c>
      <c r="O12" s="179" t="str">
        <f ca="1"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>Moderate - Good</v>
      </c>
      <c r="P12" s="695">
        <f>IF(B12="","",VLOOKUP(B12,'B-1 Site Hedge Baseline'!$B$10:T257,16,FALSE))</f>
        <v>0.69</v>
      </c>
      <c r="Q12" s="178" t="str">
        <f ca="1">IF(M12="","",VLOOKUP(M12,'G-6 Hedgerow Data'!$B$2:$AG$15,2,FALSE))</f>
        <v>Low</v>
      </c>
      <c r="R12" s="179">
        <f ca="1">IF(M12="","",VLOOKUP(M12,'G-6 Hedgerow Data'!$B$2:$AG$15,3,FALSE))</f>
        <v>2</v>
      </c>
      <c r="S12" s="188" t="s">
        <v>0</v>
      </c>
      <c r="T12" s="281">
        <f>IFERROR(VLOOKUP(S12,'G-1 All Habitats'!$Z$2:$AA$9,2,FALSE),"")</f>
        <v>3</v>
      </c>
      <c r="U12" s="181" t="s">
        <v>970</v>
      </c>
      <c r="V12" s="182" t="str">
        <f>IF(U12="","",IF(VLOOKUP(U12,'G-3 Multipliers'!$L$3:$N$6,2,FALSE)=0,"Spatial Data Missing",VLOOKUP(U12,'G-3 Multipliers'!$L$3:$N$6,2,FALSE)))</f>
        <v>Low Strategic Significance</v>
      </c>
      <c r="W12" s="183">
        <f>IF(U12="","",IF(VLOOKUP(U12,'G-3 Multipliers'!$L$3:$N$6,3,FALSE)=0,"Spatial Data Missing",VLOOKUP(U12,'G-3 Multipliers'!$L$3:$N$6,3,FALSE)))</f>
        <v>1</v>
      </c>
      <c r="X12" s="178">
        <f ca="1"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2</v>
      </c>
      <c r="Y12" s="272">
        <v>0</v>
      </c>
      <c r="Z12" s="272">
        <v>0</v>
      </c>
      <c r="AA12" s="189" t="str">
        <f ca="1"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>Standard time to target condition applied</v>
      </c>
      <c r="AB12" s="273">
        <f ca="1">IF(X12="","",IF(AA12="Check Data","Check Data",IF(Y12="30+",0,IF(Z12="30+","30+",IF(X12+Z12&gt;30,"30+",IF(LEFT(AA12,5)="Error","Check Data",IF(X12+Z12-Y12&gt;0,X12+Z12-Y12,IF(X12-Y12&lt;=0,0,))))))))</f>
        <v>2</v>
      </c>
      <c r="AC12" s="274">
        <f ca="1">IF(OR(S12="",M12=""),"",IF(LEFT(AB12,5)="Error","Check Data",IF(AB12="Check Data","Check Data",VLOOKUP(AB12,TemporalMultipliers,3,FALSE))))</f>
        <v>0.93122499999999997</v>
      </c>
      <c r="AD12" s="178" t="str">
        <f ca="1">IF(M12="","",VLOOKUP(M12,'G-6 Hedgerow Data'!$B$3:$AG$15,31,FALSE))</f>
        <v>Low</v>
      </c>
      <c r="AE12" s="189" t="str">
        <f ca="1"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>Standard difficulty applied</v>
      </c>
      <c r="AF12" s="189" t="str">
        <f ca="1">(IF(AND(AE12="Standard difficulty applied",X12&gt;Y12),AD12,IF(AND(AE12="Low Difficulty - only applicable if all habitat created before losses",Y12&gt;=X12),"Low",AD12)))</f>
        <v>Low</v>
      </c>
      <c r="AG12" s="179">
        <f ca="1">IFERROR(IF(O12="","",VLOOKUP(AD12,'G-3 Multipliers'!$P$3:$Q$6,2,FALSE)),"")</f>
        <v>1</v>
      </c>
      <c r="AH12" s="218">
        <f t="shared" ref="AH12:AH75" ca="1" si="1">IFERROR(IF(OR(M12="",S12="",U12=""),"",(((((P12*R12*T12)-(P12*F12*H12))*(AG12*AC12))+(P12*F12*H12))*(W12))),"")</f>
        <v>4.0450904999999997</v>
      </c>
      <c r="AI12" s="698"/>
      <c r="AJ12" s="373"/>
      <c r="AT12" s="35" t="str">
        <f ca="1">IFERROR(INDEX('G-6 Hedgerow Data'!$BJ$3:$BJ$15,MATCH(M12,'G-6 Hedgerow Data'!$B$3:$B$15,0)),"")</f>
        <v>Hedgecond1</v>
      </c>
    </row>
    <row r="13" spans="2:46" ht="30">
      <c r="B13" s="270">
        <f>'B-1 Site Hedge Baseline'!AK11</f>
        <v>5</v>
      </c>
      <c r="C13" s="182" t="str">
        <f ca="1">IF(B13="","",IF(ISNA(VLOOKUP($B13,'B-1 Site Hedge Baseline'!$B$1:$L$257,3,FALSE)),"",(VLOOKUP($B13,'B-1 Site Hedge Baseline'!$B$1:$L$257,3,FALSE))))</f>
        <v>Native Hedgerow</v>
      </c>
      <c r="D13" s="182">
        <f ca="1">IF(B13="","",IF(ISNA(VLOOKUP($B13,'B-1 Site Hedge Baseline'!$B$1:$L$257,4,FALSE)),"",(VLOOKUP($B13,'B-1 Site Hedge Baseline'!$B$1:$L$257,4,FALSE))))</f>
        <v>1.34</v>
      </c>
      <c r="E13" s="182" t="str">
        <f ca="1">IF(B13="","",IF(ISNA(VLOOKUP($B13,'B-1 Site Hedge Baseline'!$B$1:$L$257,5,FALSE)),"",(VLOOKUP($B13,'B-1 Site Hedge Baseline'!$B$1:$L$257,5,FALSE))))</f>
        <v>Low</v>
      </c>
      <c r="F13" s="182">
        <f ca="1">IF(B13="","",IF(ISNA(VLOOKUP($B13,'B-1 Site Hedge Baseline'!$B$1:$L$257,6,FALSE)),"",(VLOOKUP($B13,'B-1 Site Hedge Baseline'!$B$1:$L$257,6,FALSE))))</f>
        <v>2</v>
      </c>
      <c r="G13" s="182" t="str">
        <f ca="1">IF(B13="","",IF(ISNA(VLOOKUP($B13,'B-1 Site Hedge Baseline'!$B$1:$L$257,7,FALSE)),"",(VLOOKUP($B13,'B-1 Site Hedge Baseline'!$B$1:$L$257,7,FALSE))))</f>
        <v>Moderate</v>
      </c>
      <c r="H13" s="182">
        <f ca="1">IF(B13="","",IF(ISNA(VLOOKUP($B13,'B-1 Site Hedge Baseline'!$B$1:$L$257,8,FALSE)),"",(VLOOKUP($B13,'B-1 Site Hedge Baseline'!$B$1:$L$257,8,FALSE))))</f>
        <v>2</v>
      </c>
      <c r="I13" s="182" t="str">
        <f ca="1">IF(B13="","",IF(ISNA(VLOOKUP($B13,'B-1 Site Hedge Baseline'!$B$1:$L$257,10,FALSE)),"",(VLOOKUP($B13,'B-1 Site Hedge Baseline'!$B$1:$L$257,10,FALSE))))</f>
        <v>Low Strategic Significance</v>
      </c>
      <c r="J13" s="182">
        <f ca="1">IF(B13="","",IF(ISNA(VLOOKUP($B13,'B-1 Site Hedge Baseline'!$B$1:$L$257,11,FALSE)),"",(VLOOKUP($B13,'B-1 Site Hedge Baseline'!$B$1:$L$257,11,FALSE))))</f>
        <v>1</v>
      </c>
      <c r="K13" s="182">
        <f ca="1">IF(B13="","",IF(ISNA(VLOOKUP($B13,'B-1 Site Hedge Baseline'!$B$1:$U$257,13,FALSE)),"",(VLOOKUP($B13,'B-1 Site Hedge Baseline'!$B$1:$U$257,13,FALSE))))</f>
        <v>5.36</v>
      </c>
      <c r="L13" s="183" t="str">
        <f ca="1">IF(B13="","",IF(ISNA(VLOOKUP($B13,'B-1 Site Hedge Baseline'!$B$1:$U$257,12,FALSE)),"",(VLOOKUP($B13,'B-1 Site Hedge Baseline'!$B$1:$U$257,12,FALSE))))</f>
        <v>Same distinctiveness band or better</v>
      </c>
      <c r="M13" s="689" t="str">
        <f ca="1">IF(B13="","",C13)</f>
        <v>Native Hedgerow</v>
      </c>
      <c r="N13" s="178" t="str">
        <f ca="1">IFERROR(IF(B13="","",INDEX('G-6 Hedgerow Data'!$AN$3:$AZ$15,MATCH(C13,'G-6 Hedgerow Data'!$AM$3:$AM$15,0),MATCH(M13,'G-6 Hedgerow Data'!$AN$2:$AZ$2,0))),"")</f>
        <v>Low - Low</v>
      </c>
      <c r="O13" s="179" t="str">
        <f t="shared" ref="O13:O75" ca="1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>Moderate - Good</v>
      </c>
      <c r="P13" s="695">
        <f>IF(B13="","",VLOOKUP(B13,'B-1 Site Hedge Baseline'!$B$10:T258,16,FALSE))</f>
        <v>0.56999999999999995</v>
      </c>
      <c r="Q13" s="178" t="str">
        <f ca="1">IF(M13="","",VLOOKUP(M13,'G-6 Hedgerow Data'!$B$2:$AG$15,2,FALSE))</f>
        <v>Low</v>
      </c>
      <c r="R13" s="179">
        <f ca="1">IF(M13="","",VLOOKUP(M13,'G-6 Hedgerow Data'!$B$2:$AG$15,3,FALSE))</f>
        <v>2</v>
      </c>
      <c r="S13" s="188" t="s">
        <v>0</v>
      </c>
      <c r="T13" s="281">
        <f>IFERROR(VLOOKUP(S13,'G-1 All Habitats'!$Z$2:$AA$9,2,FALSE),"")</f>
        <v>3</v>
      </c>
      <c r="U13" s="181" t="s">
        <v>970</v>
      </c>
      <c r="V13" s="182" t="str">
        <f>IF(U13="","",IF(VLOOKUP(U13,'G-3 Multipliers'!$L$3:$N$6,2,FALSE)=0,"Spatial Data Missing",VLOOKUP(U13,'G-3 Multipliers'!$L$3:$N$6,2,FALSE)))</f>
        <v>Low Strategic Significance</v>
      </c>
      <c r="W13" s="183">
        <f>IF(U13="","",IF(VLOOKUP(U13,'G-3 Multipliers'!$L$3:$N$6,3,FALSE)=0,"Spatial Data Missing",VLOOKUP(U13,'G-3 Multipliers'!$L$3:$N$6,3,FALSE)))</f>
        <v>1</v>
      </c>
      <c r="X13" s="178">
        <f ca="1"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>2</v>
      </c>
      <c r="Y13" s="272">
        <v>0</v>
      </c>
      <c r="Z13" s="272">
        <v>0</v>
      </c>
      <c r="AA13" s="189" t="str">
        <f t="shared" ref="AA13:AA76" ca="1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>Standard time to target condition applied</v>
      </c>
      <c r="AB13" s="273">
        <f t="shared" ref="AB13:AB76" ca="1" si="4">IF(X13="","",IF(AA13="Check Data","Check Data",IF(Y13="30+",0,IF(Z13="30+","30+",IF(X13+Z13&gt;30,"30+",IF(LEFT(AA13,5)="Error","Check Data",IF(X13+Z13-Y13&gt;0,X13+Z13-Y13,IF(X13-Y13&lt;=0,0,))))))))</f>
        <v>2</v>
      </c>
      <c r="AC13" s="274">
        <f t="shared" ref="AC13:AC75" ca="1" si="5">IF(OR(S13="",M13=""),"",IF(LEFT(AB13,5)="Error","Check Data",IF(AB13="Check Data","Check Data",VLOOKUP(AB13,TemporalMultipliers,3,FALSE))))</f>
        <v>0.93122499999999997</v>
      </c>
      <c r="AD13" s="250" t="str">
        <f ca="1">IF(M13="","",VLOOKUP(M13,'G-6 Hedgerow Data'!$B$3:$AG$15,31,FALSE))</f>
        <v>Low</v>
      </c>
      <c r="AE13" s="189" t="str">
        <f t="shared" ref="AE13:AE76" ca="1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>Standard difficulty applied</v>
      </c>
      <c r="AF13" s="189" t="str">
        <f t="shared" ref="AF13:AF76" ca="1" si="7">(IF(AND(AE13="Standard difficulty applied",X13&gt;Y13),AD13,IF(AND(AE13="Low Difficulty - only applicable if all habitat created before losses",Y13&gt;=X13),"Low",AD13)))</f>
        <v>Low</v>
      </c>
      <c r="AG13" s="183">
        <f ca="1">IFERROR(IF(O13="","",VLOOKUP(AD13,'G-3 Multipliers'!$P$3:$Q$6,2,FALSE)),"")</f>
        <v>1</v>
      </c>
      <c r="AH13" s="218">
        <f t="shared" ca="1" si="1"/>
        <v>3.3415964999999996</v>
      </c>
      <c r="AI13" s="698"/>
      <c r="AJ13" s="373"/>
      <c r="AT13" s="35" t="str">
        <f ca="1">IFERROR(INDEX('G-6 Hedgerow Data'!$BJ$3:$BJ$15,MATCH(M13,'G-6 Hedgerow Data'!$B$3:$B$15,0)),"")</f>
        <v>Hedgecond1</v>
      </c>
    </row>
    <row r="14" spans="2:46" ht="15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5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5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5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5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5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5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5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5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5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5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5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5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5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5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5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5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5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5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5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5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5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5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5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5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5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5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5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5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5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5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5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5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5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5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5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5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5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5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5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5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5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5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5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5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5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5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5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5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5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5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5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5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5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5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5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5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5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5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5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5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5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5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5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5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5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5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5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5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5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5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5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5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5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5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5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5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5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5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5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5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5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5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5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5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5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5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5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5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5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5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5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5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5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5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5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5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5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5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5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5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5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5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5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5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5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5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5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5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5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5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5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5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5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5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5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5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5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5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5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5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5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5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5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5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5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5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5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5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5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5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5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5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5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5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5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5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5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5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5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5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5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5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5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5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5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5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5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5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5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5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5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5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5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5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5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5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5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5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5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5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5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5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5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5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5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5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5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5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5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5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5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5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5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5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5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5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5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5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5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5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5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5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5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5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5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5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5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5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5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5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5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5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5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5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5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5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5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5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5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5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5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5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5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5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5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5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5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5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5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5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5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5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5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5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5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5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5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5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5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5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5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5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5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5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5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5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5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5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5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5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5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5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5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5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5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5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5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5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5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5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5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5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5.75" thickBot="1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1.2599999999999998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 ca="1">SUM(AH12:AH257)</f>
        <v>7.3866869999999993</v>
      </c>
      <c r="AI258" s="51"/>
      <c r="AJ258" s="51"/>
    </row>
    <row r="259" spans="2:46" ht="15"/>
    <row r="260" spans="2:46" ht="15"/>
    <row r="261" spans="2:46" ht="15"/>
    <row r="262" spans="2:46" ht="15"/>
    <row r="263" spans="2:46" ht="15"/>
    <row r="264" spans="2:46" ht="15"/>
    <row r="265" spans="2:46" ht="15"/>
    <row r="266" spans="2:46" ht="15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/>
    <row r="2" spans="2:37" ht="15.75" customHeight="1" thickBot="1">
      <c r="B2" s="884" t="str">
        <f>IF(Start!$F$12="","",Start!$F$12)</f>
        <v>Cotmoor Solar farm</v>
      </c>
      <c r="C2" s="885"/>
      <c r="D2" s="886"/>
    </row>
    <row r="3" spans="2:37" ht="15.75" customHeight="1">
      <c r="B3" s="878" t="str">
        <f ca="1">MID(CELL("filename",A1),FIND("]",CELL("filename",A1))+1,256)</f>
        <v>E-1 Off Site Hedge Baseline</v>
      </c>
      <c r="C3" s="879"/>
      <c r="D3" s="880"/>
    </row>
    <row r="4" spans="2:37" ht="15.75" customHeight="1" thickBot="1">
      <c r="B4" s="881"/>
      <c r="C4" s="882"/>
      <c r="D4" s="883"/>
    </row>
    <row r="5" spans="2:37" ht="37.9" customHeight="1"/>
    <row r="6" spans="2:37" ht="28.9" customHeight="1"/>
    <row r="7" spans="2:37" ht="15.75" customHeight="1" thickBot="1">
      <c r="B7" s="166"/>
      <c r="C7" s="166"/>
      <c r="D7" s="165"/>
    </row>
    <row r="8" spans="2:37" s="46" customFormat="1" ht="29.25" thickBot="1">
      <c r="B8" s="44"/>
      <c r="C8" s="1074" t="s">
        <v>1031</v>
      </c>
      <c r="D8" s="1075"/>
      <c r="E8" s="1076"/>
      <c r="F8" s="1074" t="s">
        <v>981</v>
      </c>
      <c r="G8" s="1076"/>
      <c r="H8" s="1074" t="s">
        <v>982</v>
      </c>
      <c r="I8" s="1076"/>
      <c r="J8" s="1074" t="s">
        <v>362</v>
      </c>
      <c r="K8" s="1075"/>
      <c r="L8" s="1076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3.5" thickBot="1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5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5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5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5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5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5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5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5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5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5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5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5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5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5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5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5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5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5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5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5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5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5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5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5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5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5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5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5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5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5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5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5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5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5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5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5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5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5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5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5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5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5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5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5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5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5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5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5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5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5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5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5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5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5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5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5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5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5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5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5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5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5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5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5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5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5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5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5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5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5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5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5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5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5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5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5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5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5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5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5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5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5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5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5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5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5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5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5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5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5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5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5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5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5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5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5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5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5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5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5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5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5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5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5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5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5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5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5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5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5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5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5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5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5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5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5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5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5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5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5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5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5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5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5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5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5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5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5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5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5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5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5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5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5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5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5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5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5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5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5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5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5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5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5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5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5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5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5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5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5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5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5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5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5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5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5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5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5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5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5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5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5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5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5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5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5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5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5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5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5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5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5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5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5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5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5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5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5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5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5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5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5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5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5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5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5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5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5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5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5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5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5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5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5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5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5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5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5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5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5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5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5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5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5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5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5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5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5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5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5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5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5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5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5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5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5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5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5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5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5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5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5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5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5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5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5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5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5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5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5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5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5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5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5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5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5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5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5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5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5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5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5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5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5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5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5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5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5.75" thickBot="1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5.75" thickBot="1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5">
      <c r="O259" s="211"/>
      <c r="P259" s="211"/>
      <c r="Q259" s="211"/>
      <c r="R259" s="211"/>
      <c r="S259" s="211"/>
      <c r="T259" s="211"/>
      <c r="U259" s="211"/>
    </row>
    <row r="260" spans="2:37" ht="15">
      <c r="B260" s="166"/>
      <c r="C260" s="166"/>
    </row>
    <row r="261" spans="2:37" ht="15">
      <c r="B261" s="166"/>
      <c r="C261" s="166"/>
    </row>
    <row r="262" spans="2:37" ht="15">
      <c r="B262" s="166"/>
      <c r="C262" s="166"/>
    </row>
    <row r="263" spans="2:37" ht="15">
      <c r="B263" s="166"/>
      <c r="C263" s="166"/>
    </row>
    <row r="264" spans="2:37" ht="15">
      <c r="B264" s="166"/>
      <c r="C264" s="166"/>
    </row>
    <row r="265" spans="2:37" ht="15">
      <c r="B265" s="166"/>
      <c r="C265" s="166"/>
    </row>
    <row r="266" spans="2:37" ht="15">
      <c r="B266" s="166"/>
      <c r="C266" s="166"/>
    </row>
    <row r="267" spans="2:37" ht="15" hidden="1">
      <c r="B267" s="166"/>
      <c r="C267" s="166"/>
    </row>
    <row r="268" spans="2:37" ht="15" hidden="1">
      <c r="B268" s="166"/>
      <c r="C268" s="166"/>
    </row>
    <row r="269" spans="2:37" ht="15" hidden="1">
      <c r="B269" s="166"/>
      <c r="C269" s="166"/>
    </row>
    <row r="270" spans="2:37" ht="15" hidden="1">
      <c r="B270" s="166"/>
      <c r="C270" s="166"/>
    </row>
    <row r="271" spans="2:37" ht="15" hidden="1">
      <c r="B271" s="166"/>
      <c r="C271" s="166"/>
    </row>
    <row r="272" spans="2:37" ht="15" hidden="1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'G-6 Hedgerow Data'!$B$3:$B$15</xm:f>
          </x14:formula1>
          <xm:sqref>D10:D257</xm:sqref>
        </x14:dataValidation>
        <x14:dataValidation type="list" allowBlank="1" showErrorMessage="1" prompt=" _x000a_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/>
    <row r="2" spans="2:33" ht="15.75" customHeight="1" thickBot="1">
      <c r="B2" s="884" t="str">
        <f>IF(Start!$F$12="","",Start!$F$12)</f>
        <v>Cotmoor Solar farm</v>
      </c>
      <c r="C2" s="885"/>
      <c r="D2" s="885"/>
      <c r="E2" s="886"/>
      <c r="O2" s="1004" t="str">
        <f>IF(OR(COUNTIF($O$12:O259,"*30+*")&gt;0,COUNTIF($S$12:S259,"*30+*")&gt;0),"Note; Habitat selected has a time to target condition greater than 30 years. Non standard agreement may be required.","")</f>
        <v/>
      </c>
      <c r="P2" s="1004"/>
      <c r="Q2" s="1004"/>
      <c r="R2" s="1004"/>
      <c r="S2" s="1004"/>
      <c r="T2" s="1004"/>
    </row>
    <row r="3" spans="2:33" ht="15.75" customHeight="1" thickBot="1">
      <c r="B3" s="1059" t="str">
        <f ca="1">MID(CELL("filename",A1),FIND("]",CELL("filename",A1))+1,256)</f>
        <v>E-2 Off Site Hedge Creation</v>
      </c>
      <c r="C3" s="1060"/>
      <c r="D3" s="1060"/>
      <c r="E3" s="1061"/>
      <c r="O3" s="1004"/>
      <c r="P3" s="1004"/>
      <c r="Q3" s="1004"/>
      <c r="R3" s="1004"/>
      <c r="S3" s="1004"/>
      <c r="T3" s="1004"/>
    </row>
    <row r="4" spans="2:33" ht="15.75" customHeight="1" thickBot="1">
      <c r="B4" s="1059"/>
      <c r="C4" s="1060"/>
      <c r="D4" s="1060"/>
      <c r="E4" s="1061"/>
      <c r="O4" s="1004"/>
      <c r="P4" s="1004"/>
      <c r="Q4" s="1004"/>
      <c r="R4" s="1004"/>
      <c r="S4" s="1004"/>
      <c r="T4" s="1004"/>
    </row>
    <row r="5" spans="2:33" ht="15.75" customHeight="1">
      <c r="O5" s="1004"/>
      <c r="P5" s="1004"/>
      <c r="Q5" s="1004"/>
      <c r="R5" s="1004"/>
      <c r="S5" s="1004"/>
      <c r="T5" s="1004"/>
    </row>
    <row r="6" spans="2:33" ht="15.75" customHeight="1">
      <c r="O6" s="675"/>
      <c r="P6" s="675"/>
      <c r="Q6" s="675"/>
      <c r="R6" s="675"/>
      <c r="S6" s="675"/>
    </row>
    <row r="7" spans="2:33" ht="15.75" customHeight="1">
      <c r="B7" s="166"/>
      <c r="C7" s="166"/>
    </row>
    <row r="8" spans="2:33" ht="15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>
      <c r="B10" s="44"/>
      <c r="C10" s="44"/>
      <c r="D10" s="1074" t="s">
        <v>1079</v>
      </c>
      <c r="E10" s="1076"/>
      <c r="F10" s="1074" t="s">
        <v>981</v>
      </c>
      <c r="G10" s="1076"/>
      <c r="H10" s="1075" t="s">
        <v>982</v>
      </c>
      <c r="I10" s="1076"/>
      <c r="J10" s="1074" t="s">
        <v>362</v>
      </c>
      <c r="K10" s="1075"/>
      <c r="L10" s="1076"/>
      <c r="M10" s="1074" t="s">
        <v>1027</v>
      </c>
      <c r="N10" s="1076"/>
      <c r="O10" s="1074" t="s">
        <v>988</v>
      </c>
      <c r="P10" s="1075"/>
      <c r="Q10" s="1075"/>
      <c r="R10" s="1075"/>
      <c r="S10" s="1075"/>
      <c r="T10" s="1076"/>
      <c r="U10" s="1074" t="s">
        <v>1293</v>
      </c>
      <c r="V10" s="1075"/>
      <c r="W10" s="1075"/>
      <c r="X10" s="1076"/>
      <c r="Y10" s="1079" t="s">
        <v>1033</v>
      </c>
      <c r="Z10" s="1074" t="s">
        <v>145</v>
      </c>
      <c r="AA10" s="1076"/>
    </row>
    <row r="11" spans="2:33" ht="57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5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5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5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5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5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5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5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5.75" thickBot="1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5.75" thickBot="1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" customHeight="1">
      <c r="E261" s="1081"/>
      <c r="F261" s="1081"/>
      <c r="G261" s="1081"/>
      <c r="H261" s="1081"/>
      <c r="I261" s="1081"/>
      <c r="J261" s="1081"/>
    </row>
    <row r="262" spans="2:33" ht="27" customHeight="1"/>
    <row r="263" spans="2:33" ht="15"/>
    <row r="264" spans="2:33" ht="15"/>
    <row r="265" spans="2:33" ht="15"/>
    <row r="266" spans="2:33" ht="15" hidden="1"/>
    <row r="267" spans="2:33" ht="15" hidden="1"/>
    <row r="268" spans="2:33" ht="15" hidden="1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'G-6 Hedgerow Data'!$B$3:$B$15</xm:f>
          </x14:formula1>
          <xm:sqref>D12:D259</xm:sqref>
        </x14:dataValidation>
        <x14:dataValidation type="list" allowBlank="1" showInputMessage="1" showErrorMessage="1">
          <x14:formula1>
            <xm:f>'G-3 Multipliers'!$L$4:$L$6</xm:f>
          </x14:formula1>
          <xm:sqref>J12:J259</xm:sqref>
        </x14:dataValidation>
        <x14:dataValidation type="list" allowBlank="1" showInputMessage="1" showErrorMessage="1">
          <x14:formula1>
            <xm:f>'G-3 Multipliers'!$S$4:$S$6</xm:f>
          </x14:formula1>
          <xm:sqref>M12:M259</xm:sqref>
        </x14:dataValidation>
        <x14:dataValidation type="list" allowBlank="1" showInputMessage="1" showErrorMessage="1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249977111117893"/>
  </sheetPr>
  <dimension ref="A1:AC60"/>
  <sheetViews>
    <sheetView showGridLines="0" showRowColHeaders="0" tabSelected="1" zoomScaleNormal="100" workbookViewId="0">
      <selection activeCell="F19" sqref="F19:J19"/>
    </sheetView>
  </sheetViews>
  <sheetFormatPr defaultColWidth="0" defaultRowHeight="0" customHeight="1" zeroHeight="1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>
      <c r="B1" s="12"/>
      <c r="C1" s="12"/>
      <c r="E1" s="13"/>
      <c r="F1" s="807"/>
      <c r="G1" s="807"/>
      <c r="H1" s="807"/>
      <c r="I1" s="807"/>
      <c r="J1" s="807"/>
      <c r="K1" s="808"/>
      <c r="L1" s="808"/>
      <c r="M1" s="808"/>
      <c r="N1" s="808"/>
      <c r="O1" s="808"/>
      <c r="P1" s="808"/>
    </row>
    <row r="2" spans="1:19" ht="15.75" customHeight="1">
      <c r="B2" s="12"/>
      <c r="C2" s="12"/>
      <c r="E2" s="13"/>
    </row>
    <row r="3" spans="1:19" ht="15.75" customHeight="1">
      <c r="A3" s="13"/>
      <c r="B3" s="13"/>
      <c r="C3" s="13"/>
      <c r="D3" s="13"/>
      <c r="E3" s="13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</row>
    <row r="4" spans="1:19" ht="16.5" customHeight="1">
      <c r="A4" s="13"/>
      <c r="B4" s="13"/>
      <c r="C4" s="13"/>
      <c r="D4" s="13"/>
      <c r="E4" s="13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</row>
    <row r="5" spans="1:19" ht="16.5" customHeight="1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>
      <c r="B8" s="12"/>
      <c r="C8" s="12"/>
      <c r="D8" s="13"/>
      <c r="E8" s="815"/>
      <c r="F8" s="815"/>
      <c r="G8" s="815"/>
      <c r="H8" s="815"/>
      <c r="I8" s="815"/>
      <c r="J8" s="815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>
      <c r="B9" s="12"/>
      <c r="D9" s="791" t="s">
        <v>962</v>
      </c>
      <c r="E9" s="792"/>
      <c r="F9" s="792"/>
      <c r="G9" s="792"/>
      <c r="H9" s="792"/>
      <c r="I9" s="792"/>
      <c r="J9" s="793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>
      <c r="B10" s="12"/>
      <c r="D10" s="794"/>
      <c r="E10" s="795"/>
      <c r="F10" s="795"/>
      <c r="G10" s="795"/>
      <c r="H10" s="795"/>
      <c r="I10" s="795"/>
      <c r="J10" s="796"/>
      <c r="K10" s="14"/>
      <c r="L10" s="14"/>
      <c r="M10" s="14"/>
      <c r="N10" s="14"/>
      <c r="P10" s="14"/>
      <c r="Q10" s="14"/>
      <c r="R10" s="14"/>
    </row>
    <row r="11" spans="1:19" ht="25.9" customHeight="1">
      <c r="B11" s="12"/>
      <c r="D11" s="810" t="s">
        <v>977</v>
      </c>
      <c r="E11" s="811"/>
      <c r="F11" s="812"/>
      <c r="G11" s="813"/>
      <c r="H11" s="813"/>
      <c r="I11" s="813"/>
      <c r="J11" s="814"/>
      <c r="K11" s="14"/>
      <c r="L11" s="14"/>
      <c r="M11" s="14"/>
      <c r="N11" s="14"/>
      <c r="P11" s="14"/>
      <c r="Q11" s="14"/>
      <c r="R11" s="14"/>
    </row>
    <row r="12" spans="1:19" ht="24" customHeight="1">
      <c r="B12" s="12"/>
      <c r="D12" s="803" t="s">
        <v>381</v>
      </c>
      <c r="E12" s="804"/>
      <c r="F12" s="797" t="s">
        <v>1532</v>
      </c>
      <c r="G12" s="798"/>
      <c r="H12" s="798"/>
      <c r="I12" s="798"/>
      <c r="J12" s="799"/>
      <c r="K12" s="14"/>
      <c r="L12" s="14"/>
      <c r="M12" s="14"/>
      <c r="N12" s="14"/>
      <c r="P12" s="14"/>
      <c r="Q12" s="14"/>
      <c r="R12" s="14"/>
    </row>
    <row r="13" spans="1:19" ht="21.6" customHeight="1">
      <c r="B13" s="12"/>
      <c r="D13" s="805" t="s">
        <v>795</v>
      </c>
      <c r="E13" s="806"/>
      <c r="F13" s="797" t="s">
        <v>1533</v>
      </c>
      <c r="G13" s="798"/>
      <c r="H13" s="798"/>
      <c r="I13" s="798"/>
      <c r="J13" s="799"/>
      <c r="K13" s="14"/>
      <c r="L13" s="14"/>
      <c r="M13" s="14"/>
      <c r="N13" s="14"/>
      <c r="P13" s="14"/>
      <c r="Q13" s="14"/>
      <c r="R13" s="14"/>
    </row>
    <row r="14" spans="1:19" ht="22.15" customHeight="1">
      <c r="B14" s="12"/>
      <c r="D14" s="803" t="s">
        <v>959</v>
      </c>
      <c r="E14" s="804"/>
      <c r="F14" s="797" t="s">
        <v>1534</v>
      </c>
      <c r="G14" s="798"/>
      <c r="H14" s="798"/>
      <c r="I14" s="798"/>
      <c r="J14" s="799"/>
      <c r="K14" s="14"/>
      <c r="L14" s="14"/>
      <c r="M14" s="14"/>
      <c r="N14" s="14"/>
      <c r="P14" s="14"/>
      <c r="Q14" s="14"/>
      <c r="R14" s="14"/>
    </row>
    <row r="15" spans="1:19" ht="21.6" customHeight="1">
      <c r="B15" s="12"/>
      <c r="D15" s="803" t="s">
        <v>960</v>
      </c>
      <c r="E15" s="804"/>
      <c r="F15" s="797"/>
      <c r="G15" s="798"/>
      <c r="H15" s="798"/>
      <c r="I15" s="798"/>
      <c r="J15" s="799"/>
      <c r="K15" s="14"/>
      <c r="L15" s="14"/>
      <c r="M15" s="14"/>
      <c r="N15" s="14"/>
      <c r="P15" s="14"/>
      <c r="Q15" s="14"/>
      <c r="R15" s="14"/>
    </row>
    <row r="16" spans="1:19" ht="21" customHeight="1">
      <c r="D16" s="803" t="s">
        <v>146</v>
      </c>
      <c r="E16" s="804"/>
      <c r="F16" s="797" t="s">
        <v>1535</v>
      </c>
      <c r="G16" s="798"/>
      <c r="H16" s="798"/>
      <c r="I16" s="798"/>
      <c r="J16" s="799"/>
      <c r="K16" s="14"/>
      <c r="L16" s="14"/>
      <c r="M16" s="14"/>
      <c r="N16" s="14"/>
      <c r="P16" s="14"/>
      <c r="Q16" s="14"/>
      <c r="R16" s="14"/>
    </row>
    <row r="17" spans="3:18" ht="23.45" customHeight="1">
      <c r="D17" s="803" t="s">
        <v>841</v>
      </c>
      <c r="E17" s="804"/>
      <c r="F17" s="797" t="s">
        <v>1536</v>
      </c>
      <c r="G17" s="798"/>
      <c r="H17" s="798"/>
      <c r="I17" s="798"/>
      <c r="J17" s="799"/>
      <c r="K17" s="14"/>
      <c r="L17" s="14"/>
      <c r="M17" s="14"/>
      <c r="N17" s="14"/>
      <c r="P17" s="14"/>
      <c r="Q17" s="14"/>
      <c r="R17" s="14"/>
    </row>
    <row r="18" spans="3:18" ht="19.899999999999999" customHeight="1">
      <c r="D18" s="803" t="s">
        <v>1441</v>
      </c>
      <c r="E18" s="804"/>
      <c r="F18" s="797">
        <v>3</v>
      </c>
      <c r="G18" s="798"/>
      <c r="H18" s="798"/>
      <c r="I18" s="798"/>
      <c r="J18" s="799"/>
      <c r="K18" s="14"/>
      <c r="L18" s="14"/>
      <c r="M18" s="14"/>
      <c r="N18" s="14"/>
      <c r="P18" s="14"/>
      <c r="Q18" s="14"/>
      <c r="R18" s="14"/>
    </row>
    <row r="19" spans="3:18" ht="19.899999999999999" customHeight="1">
      <c r="D19" s="803" t="s">
        <v>961</v>
      </c>
      <c r="E19" s="804"/>
      <c r="F19" s="800">
        <v>44532</v>
      </c>
      <c r="G19" s="801"/>
      <c r="H19" s="801"/>
      <c r="I19" s="801"/>
      <c r="J19" s="802"/>
      <c r="K19" s="14"/>
      <c r="L19" s="14"/>
      <c r="M19" s="14"/>
      <c r="N19" s="14"/>
      <c r="P19" s="14"/>
      <c r="Q19" s="14"/>
      <c r="R19" s="14"/>
    </row>
    <row r="20" spans="3:18" ht="21.6" customHeight="1" thickBot="1">
      <c r="D20" s="771" t="s">
        <v>978</v>
      </c>
      <c r="E20" s="772"/>
      <c r="F20" s="773"/>
      <c r="G20" s="774"/>
      <c r="H20" s="774"/>
      <c r="I20" s="774"/>
      <c r="J20" s="775"/>
      <c r="K20" s="14"/>
      <c r="L20" s="14"/>
      <c r="M20" s="14"/>
      <c r="N20" s="14"/>
      <c r="P20" s="14"/>
      <c r="Q20" s="14"/>
      <c r="R20" s="14"/>
    </row>
    <row r="21" spans="3:18" ht="16.5" customHeight="1">
      <c r="P21" s="14"/>
      <c r="Q21" s="14"/>
      <c r="R21" s="14"/>
    </row>
    <row r="22" spans="3:18" ht="16.5" customHeight="1" thickBot="1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>
      <c r="C23" s="14"/>
      <c r="D23" s="778" t="s">
        <v>963</v>
      </c>
      <c r="E23" s="779"/>
      <c r="F23" s="779"/>
      <c r="G23" s="779"/>
      <c r="H23" s="779"/>
      <c r="I23" s="779"/>
      <c r="J23" s="780"/>
      <c r="K23" s="14"/>
      <c r="L23" s="15"/>
      <c r="M23" s="15"/>
      <c r="N23" s="15"/>
      <c r="P23" s="14"/>
      <c r="Q23" s="14"/>
      <c r="R23" s="14"/>
    </row>
    <row r="24" spans="3:18" ht="16.5" customHeight="1">
      <c r="P24" s="14"/>
      <c r="Q24" s="14"/>
      <c r="R24" s="14"/>
    </row>
    <row r="25" spans="3:18" ht="16.5" customHeight="1">
      <c r="D25" s="776"/>
      <c r="E25" s="777"/>
      <c r="F25" s="785" t="s">
        <v>964</v>
      </c>
      <c r="G25" s="786"/>
      <c r="H25" s="786"/>
      <c r="I25" s="786"/>
      <c r="J25" s="787"/>
      <c r="K25" s="14"/>
      <c r="L25" s="14"/>
      <c r="M25" s="14"/>
      <c r="N25" s="14"/>
      <c r="P25" s="14"/>
      <c r="Q25" s="14"/>
      <c r="R25" s="14"/>
    </row>
    <row r="26" spans="3:18" ht="16.5" customHeight="1">
      <c r="D26" s="781"/>
      <c r="E26" s="782"/>
      <c r="F26" s="785" t="s">
        <v>147</v>
      </c>
      <c r="G26" s="786"/>
      <c r="H26" s="786"/>
      <c r="I26" s="786"/>
      <c r="J26" s="787"/>
      <c r="K26" s="14"/>
      <c r="L26" s="14"/>
      <c r="M26" s="14"/>
      <c r="N26" s="14"/>
      <c r="P26" s="14"/>
      <c r="Q26" s="14"/>
      <c r="R26" s="14"/>
    </row>
    <row r="27" spans="3:18" ht="16.5" customHeight="1" thickBot="1">
      <c r="D27" s="783"/>
      <c r="E27" s="784"/>
      <c r="F27" s="788" t="s">
        <v>120</v>
      </c>
      <c r="G27" s="789"/>
      <c r="H27" s="789"/>
      <c r="I27" s="789"/>
      <c r="J27" s="790"/>
      <c r="K27" s="14"/>
      <c r="L27" s="14"/>
      <c r="M27" s="14"/>
      <c r="N27" s="14"/>
      <c r="P27" s="14"/>
      <c r="Q27" s="14"/>
      <c r="R27" s="14"/>
    </row>
    <row r="28" spans="3:18" ht="16.5" customHeight="1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7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7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7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7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7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7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7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7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7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7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7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7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75">
      <c r="P46" s="14"/>
      <c r="Q46" s="14"/>
      <c r="R46" s="14"/>
    </row>
    <row r="47" spans="4:19" ht="15"/>
    <row r="48" spans="4:19" ht="15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5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5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5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5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5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/>
    <row r="60" spans="4:19" ht="105.75" customHeight="1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/>
    <row r="2" spans="2:42" ht="19.899999999999999" customHeight="1">
      <c r="B2" s="266"/>
      <c r="C2" s="267"/>
      <c r="O2" s="166"/>
      <c r="X2" s="1004" t="str">
        <f>IF(OR(COUNTIF($X$12:X257,"*30+*")&gt;0,COUNTIF($AB$12:AB257,"*30+*")&gt;0),"Note; Habitat selected has a time to target condition greater than 30 years. Non standard agreement may be required.","")</f>
        <v/>
      </c>
      <c r="Y2" s="1004"/>
      <c r="Z2" s="1004"/>
      <c r="AA2" s="1004"/>
      <c r="AB2" s="1004"/>
      <c r="AC2" s="1004"/>
    </row>
    <row r="3" spans="2:42" ht="19.149999999999999" customHeight="1">
      <c r="B3" s="1112" t="str">
        <f ca="1">MID(CELL("filename",A1),FIND("]",CELL("filename",A1))+1,256)</f>
        <v>E-3 Off Site Hedge Enhancement</v>
      </c>
      <c r="C3" s="1113"/>
      <c r="X3" s="1004"/>
      <c r="Y3" s="1004"/>
      <c r="Z3" s="1004"/>
      <c r="AA3" s="1004"/>
      <c r="AB3" s="1004"/>
      <c r="AC3" s="1004"/>
    </row>
    <row r="4" spans="2:42" ht="15.75" customHeight="1">
      <c r="B4" s="1114"/>
      <c r="C4" s="1115"/>
      <c r="X4" s="1004"/>
      <c r="Y4" s="1004"/>
      <c r="Z4" s="1004"/>
      <c r="AA4" s="1004"/>
      <c r="AB4" s="1004"/>
      <c r="AC4" s="1004"/>
    </row>
    <row r="5" spans="2:42" ht="15.75" customHeight="1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/>
    <row r="7" spans="2:42" ht="15.75" thickBot="1">
      <c r="B7" s="166"/>
      <c r="C7" s="166"/>
      <c r="M7" s="165"/>
    </row>
    <row r="8" spans="2:42" ht="15.75" thickBot="1">
      <c r="M8" s="1051" t="s">
        <v>1083</v>
      </c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3"/>
    </row>
    <row r="9" spans="2:42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9" t="s">
        <v>1065</v>
      </c>
      <c r="N9" s="1110"/>
      <c r="O9" s="1110"/>
      <c r="P9" s="1110"/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0"/>
      <c r="AF9" s="1110"/>
      <c r="AG9" s="1110"/>
      <c r="AH9" s="1110"/>
      <c r="AI9" s="1111"/>
    </row>
    <row r="10" spans="2:42" s="46" customFormat="1" ht="30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8"/>
      <c r="M10" s="1106" t="s">
        <v>1066</v>
      </c>
      <c r="N10" s="970" t="s">
        <v>1084</v>
      </c>
      <c r="O10" s="968"/>
      <c r="P10" s="1040" t="s">
        <v>369</v>
      </c>
      <c r="Q10" s="970" t="s">
        <v>127</v>
      </c>
      <c r="R10" s="968"/>
      <c r="S10" s="970" t="s">
        <v>141</v>
      </c>
      <c r="T10" s="968"/>
      <c r="U10" s="1074" t="s">
        <v>362</v>
      </c>
      <c r="V10" s="1075"/>
      <c r="W10" s="1076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67" t="s">
        <v>1027</v>
      </c>
      <c r="AI10" s="1079" t="s">
        <v>1027</v>
      </c>
      <c r="AJ10" s="1079" t="s">
        <v>1033</v>
      </c>
      <c r="AK10" s="1074" t="s">
        <v>145</v>
      </c>
      <c r="AL10" s="1076"/>
    </row>
    <row r="11" spans="2:42" ht="62.25" customHeight="1" thickBot="1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6"/>
      <c r="N11" s="587" t="s">
        <v>1007</v>
      </c>
      <c r="O11" s="585" t="s">
        <v>360</v>
      </c>
      <c r="P11" s="1050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6"/>
      <c r="AJ11" s="1103"/>
      <c r="AK11" s="587" t="s">
        <v>991</v>
      </c>
      <c r="AL11" s="585" t="s">
        <v>992</v>
      </c>
      <c r="AP11" s="165" t="s">
        <v>1298</v>
      </c>
    </row>
    <row r="12" spans="2:42" ht="15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5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5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5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5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5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5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5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5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5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5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5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5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5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5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5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5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5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5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5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5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5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5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5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5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5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5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5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5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5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5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5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5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5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5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5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5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5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5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5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5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5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5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5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5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5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5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5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5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5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5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5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5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5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5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5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5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5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5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5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5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5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5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5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5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5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5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5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5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5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5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5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5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5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5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5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5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5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5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5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5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5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5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5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5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5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5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5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5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5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5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5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5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5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5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5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5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5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5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5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5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5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5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5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5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5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5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5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5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5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5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5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5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5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5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5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5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5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5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5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5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5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5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5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5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5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5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5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5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5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5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5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5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5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5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5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5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5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5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5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5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5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5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5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5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5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5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5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5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5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5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5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5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5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5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5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5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5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5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5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5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5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5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5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5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5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5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5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5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5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5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5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5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5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5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5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5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5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5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5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5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5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5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5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5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5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5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5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5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5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5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5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5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5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5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5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5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5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5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5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5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5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5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5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5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5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5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5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5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5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5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5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5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5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5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5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5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5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5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5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5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5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5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5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5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5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5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5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5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5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5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5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5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5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5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5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5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5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5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5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5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5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5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5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5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5.75" thickBot="1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5.75" thickBot="1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5"/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 hidden="1" customHeight="1"/>
    <row r="268" spans="2:42" ht="15" hidden="1" customHeight="1"/>
    <row r="269" spans="2:42" ht="15" hidden="1" customHeight="1"/>
    <row r="270" spans="2:42" ht="15" hidden="1" customHeight="1"/>
    <row r="271" spans="2:42" ht="15" hidden="1" customHeight="1"/>
    <row r="272" spans="2:4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>
          <x14:formula1>
            <xm:f>'G-6 Hedgerow Data'!$B$3:$B$15</xm:f>
          </x14:formula1>
          <xm:sqref>M12:M257</xm:sqref>
        </x14:dataValidation>
        <x14:dataValidation type="list" allowBlank="1" showInputMessage="1" showErrorMessage="1">
          <x14:formula1>
            <xm:f>'G-3 Multipliers'!$L$4:$L$6</xm:f>
          </x14:formula1>
          <xm:sqref>U12:U257</xm:sqref>
        </x14:dataValidation>
        <x14:dataValidation type="list" allowBlank="1" showInputMessage="1" showErrorMessage="1">
          <x14:formula1>
            <xm:f>'G-3 Multipliers'!$S$4:$S$6</xm:f>
          </x14:formula1>
          <xm:sqref>AH12:AH257</xm:sqref>
        </x14:dataValidation>
        <x14:dataValidation type="list" allowBlank="1" showInputMessage="1" showErrorMessage="1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3.28515625" style="166" customWidth="1"/>
    <col min="3" max="3" width="12.7109375" style="166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>
      <c r="B1" s="35"/>
      <c r="C1" s="35"/>
    </row>
    <row r="2" spans="2:42" ht="19.5" customHeight="1" thickBot="1">
      <c r="B2" s="1093" t="str">
        <f>IF([2]Start!F12="","",[2]Start!F12)</f>
        <v/>
      </c>
      <c r="C2" s="1094"/>
      <c r="D2" s="1095"/>
    </row>
    <row r="3" spans="2:42" ht="15" customHeight="1">
      <c r="B3" s="1119" t="str">
        <f ca="1">MID(CELL("filename",A1),FIND("]",CELL("filename",A1))+1,256)</f>
        <v>C-1 Site River Baseline</v>
      </c>
      <c r="C3" s="1120"/>
      <c r="D3" s="1121"/>
    </row>
    <row r="4" spans="2:42" ht="19.899999999999999" customHeight="1" thickBot="1">
      <c r="B4" s="1086"/>
      <c r="C4" s="1087"/>
      <c r="D4" s="1088"/>
    </row>
    <row r="5" spans="2:42" ht="19.149999999999999" customHeight="1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>
      <c r="B6" s="35"/>
      <c r="C6" s="35"/>
      <c r="T6" s="1122"/>
      <c r="U6" s="1122"/>
      <c r="V6" s="1122"/>
      <c r="W6" s="1122"/>
      <c r="X6" s="1122"/>
      <c r="Y6" s="1122"/>
    </row>
    <row r="7" spans="2:42" ht="46.15" customHeight="1" thickBot="1"/>
    <row r="8" spans="2:42" ht="29.25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92" t="s">
        <v>145</v>
      </c>
      <c r="AA8" s="1092"/>
    </row>
    <row r="9" spans="2:42" ht="43.5" thickBot="1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5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5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5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5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5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5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5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5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5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5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5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5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5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5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5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5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5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5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5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5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5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5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5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5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5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5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5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5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5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5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5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5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5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5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5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5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5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5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5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5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5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5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5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5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5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5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5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5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5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5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5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5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5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5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5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5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5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5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5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5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5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5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5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5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5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5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5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5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5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5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5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5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5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5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5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5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5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5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5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5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5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5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5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5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5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5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5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5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5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5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5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5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5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5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5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5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5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5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5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5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5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5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5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5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5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5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5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5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5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5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5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5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5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5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5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5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5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5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5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5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5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5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5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5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5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5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5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5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5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5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5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5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5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5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5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5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5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5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5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5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5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5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5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5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5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5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5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5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5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5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5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5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5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5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5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5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5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5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5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5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5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5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5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5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5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5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5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5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5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5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5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5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5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5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5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5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5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5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5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5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5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5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5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5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5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5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5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5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5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5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5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5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5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5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5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5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5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5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5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5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5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5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5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5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5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5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5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5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5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5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5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5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5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5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5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5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5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5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5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5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5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5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5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5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5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5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5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5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5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5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5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5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5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5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5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5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5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5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5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5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5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5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5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5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5"/>
    <row r="261" spans="2:42" ht="15"/>
    <row r="262" spans="2:42" ht="15"/>
    <row r="263" spans="2:42" ht="15"/>
    <row r="264" spans="2:42" ht="15"/>
    <row r="265" spans="2:42" ht="15"/>
    <row r="266" spans="2:42" ht="15"/>
    <row r="267" spans="2:42" ht="15"/>
    <row r="268" spans="2:42" ht="15"/>
    <row r="269" spans="2:42" ht="15"/>
    <row r="270" spans="2:42" ht="15"/>
    <row r="271" spans="2:42" ht="15"/>
    <row r="272" spans="2:42" ht="1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Data'!$H$3:$L$3</xm:f>
          </x14:formula1>
          <xm:sqref>H15:H257</xm:sqref>
        </x14:dataValidation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.75" hidden="1" thickBot="1"/>
    <row r="2" spans="2:34" ht="24.6" customHeight="1" thickBot="1">
      <c r="B2" s="1093" t="str">
        <f>IF([2]Start!F12="","",[2]Start!F12)</f>
        <v/>
      </c>
      <c r="C2" s="1094"/>
      <c r="D2" s="1094"/>
      <c r="E2" s="1095"/>
    </row>
    <row r="3" spans="2:34" ht="15.6" customHeight="1" thickBot="1">
      <c r="B3" s="1123" t="str">
        <f ca="1">MID(CELL("filename",A1),FIND("]",CELL("filename",A1))+1,256)</f>
        <v>C-2 Site River Creation</v>
      </c>
      <c r="C3" s="1124"/>
      <c r="D3" s="1124"/>
      <c r="E3" s="1125"/>
      <c r="L3" s="1004" t="str">
        <f>IF(OR(COUNTIF(L$12:$L260,"*30+*")&gt;0,COUNTIF(P$12:$P260,"*30+*")&gt;0),"Note; Habitat selected has a time to target condition greater than 30 years. Non standard agreement may be required.","")</f>
        <v/>
      </c>
      <c r="M3" s="1004"/>
      <c r="N3" s="1004"/>
      <c r="O3" s="1004"/>
      <c r="P3" s="1004"/>
      <c r="Q3" s="1004"/>
    </row>
    <row r="4" spans="2:34" ht="15" customHeight="1" thickBot="1">
      <c r="B4" s="1123"/>
      <c r="C4" s="1124"/>
      <c r="D4" s="1124"/>
      <c r="E4" s="1125"/>
      <c r="L4" s="1004"/>
      <c r="M4" s="1004"/>
      <c r="N4" s="1004"/>
      <c r="O4" s="1004"/>
      <c r="P4" s="1004"/>
      <c r="Q4" s="1004"/>
    </row>
    <row r="5" spans="2:34" ht="26.45" customHeight="1">
      <c r="L5" s="1004"/>
      <c r="M5" s="1004"/>
      <c r="N5" s="1004"/>
      <c r="O5" s="1004"/>
      <c r="P5" s="1004"/>
      <c r="Q5" s="1004"/>
    </row>
    <row r="6" spans="2:34" ht="23.25" customHeight="1">
      <c r="L6" s="675"/>
      <c r="M6" s="675"/>
      <c r="N6" s="675"/>
      <c r="O6" s="675"/>
      <c r="P6" s="675"/>
    </row>
    <row r="7" spans="2:34" ht="6" customHeight="1">
      <c r="L7" s="675"/>
      <c r="M7" s="675"/>
      <c r="N7" s="675"/>
      <c r="O7" s="675"/>
      <c r="P7" s="675"/>
    </row>
    <row r="8" spans="2:34" ht="6" customHeight="1"/>
    <row r="9" spans="2:34" ht="15.75" customHeight="1" thickBot="1"/>
    <row r="10" spans="2:34" s="46" customFormat="1" ht="29.25" customHeight="1" thickBot="1">
      <c r="B10" s="387"/>
      <c r="C10" s="1050" t="s">
        <v>1079</v>
      </c>
      <c r="D10" s="1050"/>
      <c r="E10" s="1050" t="s">
        <v>981</v>
      </c>
      <c r="F10" s="1050"/>
      <c r="G10" s="1050" t="s">
        <v>982</v>
      </c>
      <c r="H10" s="1050"/>
      <c r="I10" s="1050" t="s">
        <v>362</v>
      </c>
      <c r="J10" s="1050"/>
      <c r="K10" s="1050"/>
      <c r="L10" s="1074" t="s">
        <v>988</v>
      </c>
      <c r="M10" s="1075"/>
      <c r="N10" s="1075"/>
      <c r="O10" s="1075"/>
      <c r="P10" s="1075"/>
      <c r="Q10" s="1076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40" t="s">
        <v>1035</v>
      </c>
      <c r="AA10" s="970" t="s">
        <v>145</v>
      </c>
      <c r="AB10" s="968"/>
    </row>
    <row r="11" spans="2:34" s="46" customFormat="1" ht="57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0"/>
      <c r="AA11" s="587" t="s">
        <v>991</v>
      </c>
      <c r="AB11" s="585" t="s">
        <v>992</v>
      </c>
      <c r="AH11" s="402" t="s">
        <v>1298</v>
      </c>
    </row>
    <row r="12" spans="2:34" ht="15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5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5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5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5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5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5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5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5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5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5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5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5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5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5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5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5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5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5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5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5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5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5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5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5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5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5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5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5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5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5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5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5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5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5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5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5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5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5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5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5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5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5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5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5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5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5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5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5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5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5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5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5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5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5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5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5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5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5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5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5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5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5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5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5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5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5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5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5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5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5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5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5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5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5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5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5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5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5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5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5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5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5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5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5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5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5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5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5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5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5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5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5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5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5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5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5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5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5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5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5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5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5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5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5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5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5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5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5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5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5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5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5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5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5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5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5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5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5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5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5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5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5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5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5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5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5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5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5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5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5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5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5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5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5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5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5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5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5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5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5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5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5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5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5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5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5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5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5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5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5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5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5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5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5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5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5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5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5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5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5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5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5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5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5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5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5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5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5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5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5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5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5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5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5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5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5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5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5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5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5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5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5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5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5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5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5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5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5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5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5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5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5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5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5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5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5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5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5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5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5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5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5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5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5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5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5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5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5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5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5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5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5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5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5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5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5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5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5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5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5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5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5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5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5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5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5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5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5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5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5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5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5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5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5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5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5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5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5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5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5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5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5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5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5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5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5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5.75" thickBot="1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5.75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" customHeight="1"/>
    <row r="262" spans="2:34" ht="27" customHeight="1"/>
    <row r="263" spans="2:34" ht="15" hidden="1"/>
    <row r="264" spans="2:34" ht="15" hidden="1"/>
    <row r="265" spans="2:34" ht="15" hidden="1"/>
    <row r="266" spans="2:34" ht="15" hidden="1"/>
    <row r="267" spans="2:34" ht="15" hidden="1"/>
    <row r="268" spans="2:34" ht="15" hidden="1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/>
    <row r="2" spans="2:48" ht="27" customHeight="1" thickBot="1">
      <c r="B2" s="1093" t="str">
        <f>IF([2]Start!F12="","",[2]Start!F12)</f>
        <v/>
      </c>
      <c r="C2" s="1094"/>
      <c r="D2" s="1094"/>
      <c r="E2" s="1095"/>
      <c r="R2" s="166"/>
      <c r="Y2" s="1004" t="str">
        <f>IF(OR(COUNTIF($Y$12:Y259,"*30+*")&gt;0,COUNTIF($AC$12:AC259,"*30+*")&gt;0),"Note; Habitat selected has a time to target condition greater than 30 years. Non standard agreement may be required.","")</f>
        <v/>
      </c>
      <c r="Z2" s="1004"/>
      <c r="AA2" s="1004"/>
      <c r="AB2" s="1004"/>
      <c r="AC2" s="1004"/>
      <c r="AD2" s="1004"/>
    </row>
    <row r="3" spans="2:48" ht="18" customHeight="1" thickBot="1">
      <c r="B3" s="1123" t="str">
        <f ca="1">MID(CELL("filename",A1),FIND("]",CELL("filename",A1))+1,256)</f>
        <v>C-3 Site River Enhancement</v>
      </c>
      <c r="C3" s="1124"/>
      <c r="D3" s="1124"/>
      <c r="E3" s="1125"/>
      <c r="Y3" s="1004"/>
      <c r="Z3" s="1004"/>
      <c r="AA3" s="1004"/>
      <c r="AB3" s="1004"/>
      <c r="AC3" s="1004"/>
      <c r="AD3" s="1004"/>
    </row>
    <row r="4" spans="2:48" ht="21" customHeight="1" thickBot="1">
      <c r="B4" s="1123"/>
      <c r="C4" s="1124"/>
      <c r="D4" s="1124"/>
      <c r="E4" s="1125"/>
      <c r="Y4" s="1004"/>
      <c r="Z4" s="1004"/>
      <c r="AA4" s="1004"/>
      <c r="AB4" s="1004"/>
      <c r="AC4" s="1004"/>
      <c r="AD4" s="1004"/>
    </row>
    <row r="5" spans="2:48" ht="15.6" customHeight="1">
      <c r="AH5" s="268"/>
      <c r="AI5" s="268"/>
      <c r="AJ5" s="268"/>
      <c r="AK5" s="268"/>
      <c r="AL5" s="268"/>
    </row>
    <row r="6" spans="2:48" ht="16.149999999999999" customHeight="1">
      <c r="F6" s="165"/>
    </row>
    <row r="7" spans="2:48" ht="15"/>
    <row r="8" spans="2:48" ht="15.75" thickBot="1"/>
    <row r="9" spans="2:48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3"/>
      <c r="AM9" s="763"/>
    </row>
    <row r="10" spans="2:48" s="46" customFormat="1" ht="27" customHeight="1" thickBot="1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74" t="s">
        <v>1314</v>
      </c>
      <c r="O10" s="1099" t="s">
        <v>1065</v>
      </c>
      <c r="P10" s="1099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1035</v>
      </c>
      <c r="AN10" s="970" t="s">
        <v>145</v>
      </c>
      <c r="AO10" s="968"/>
    </row>
    <row r="11" spans="2:48" ht="62.25" customHeight="1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5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5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5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5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5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5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5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5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5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5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5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5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5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5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5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5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5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5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5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5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5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5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5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5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5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5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5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5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5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5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5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5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5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5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5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5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5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5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5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5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5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5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5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5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5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5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5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5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5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5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5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5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5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5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5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5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5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5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5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5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5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5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5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5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5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5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5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5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5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5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5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5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5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5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5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5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5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5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5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5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5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5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5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5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5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5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5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5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5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5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5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5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5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5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5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5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5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5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5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5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5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5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5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5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5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5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5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5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5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5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5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5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5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5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5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5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5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5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5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5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5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5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5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5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5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5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5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5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5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5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5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5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5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5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5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5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5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5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5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5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5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5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5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5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5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5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5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5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5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5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5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5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5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5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5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5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5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5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5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5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5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5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5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5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5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5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5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5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5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5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5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5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5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5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5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5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5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5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5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5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5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5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5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5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5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5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5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5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5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5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5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5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5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5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5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5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5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5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5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5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5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5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5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5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5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5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5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5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5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5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5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5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5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5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5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5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5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5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5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5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5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5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5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5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5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5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5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5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5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5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5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5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5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5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5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5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5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5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5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5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5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5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5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5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5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5.75" thickBot="1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5.75" thickBot="1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5"/>
    <row r="261" spans="2:48" ht="15"/>
    <row r="262" spans="2:48" ht="15"/>
    <row r="263" spans="2:48" ht="15"/>
    <row r="264" spans="2:48" ht="15"/>
    <row r="265" spans="2:48" ht="15"/>
    <row r="266" spans="2:48" ht="1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'[3]G-7 Rivers Data'!#REF!</xm:f>
          </x14:formula1>
          <xm:sqref>AI258:AI259 N40:N257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Data'!$B$4:$B$8</xm:f>
          </x14:formula1>
          <xm:sqref>N12:N39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/>
  <cols>
    <col min="1" max="1" width="3" style="35" customWidth="1"/>
    <col min="2" max="2" width="4.7109375" style="166" customWidth="1"/>
    <col min="3" max="3" width="10" style="166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>
      <c r="B1" s="35"/>
      <c r="C1" s="35"/>
    </row>
    <row r="2" spans="2:40" ht="19.5" customHeight="1" thickBot="1">
      <c r="B2" s="884" t="str">
        <f>IF([2]Start!$F$12="","",[2]Start!$F$12)</f>
        <v/>
      </c>
      <c r="C2" s="885"/>
      <c r="D2" s="885"/>
      <c r="E2" s="886"/>
    </row>
    <row r="3" spans="2:40" ht="15" customHeight="1" thickBot="1">
      <c r="B3" s="1059" t="str">
        <f ca="1">MID(CELL("filename",A1),FIND("]",CELL("filename",A1))+1,256)</f>
        <v>F-1 Off Site River Baseline</v>
      </c>
      <c r="C3" s="1060"/>
      <c r="D3" s="1060"/>
      <c r="E3" s="1061"/>
    </row>
    <row r="4" spans="2:40" ht="15" customHeight="1" thickBot="1">
      <c r="B4" s="1059"/>
      <c r="C4" s="1060"/>
      <c r="D4" s="1060"/>
      <c r="E4" s="1061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15" customHeight="1">
      <c r="B6" s="35"/>
      <c r="C6" s="35"/>
      <c r="D6" s="165"/>
    </row>
    <row r="7" spans="2:40" ht="15.75" thickBot="1"/>
    <row r="8" spans="2:40" ht="30.75" customHeight="1" thickBot="1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58" t="s">
        <v>145</v>
      </c>
      <c r="AA8" s="1058"/>
    </row>
    <row r="9" spans="2:40" ht="42.75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5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5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5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5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5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5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5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5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5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5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5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5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5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5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5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5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5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5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5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5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5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5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5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5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5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5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5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5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5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5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5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5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5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5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5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5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5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5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5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5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5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5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5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5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5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5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5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5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5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5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5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5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5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5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5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5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5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5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5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5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5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5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5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5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5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5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5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5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5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5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5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5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5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5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5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5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5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5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5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5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5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5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5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5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5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5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5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5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5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5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5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5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5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5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5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5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5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5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5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5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5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5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5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5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5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5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5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5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5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5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5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5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5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5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5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5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5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5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5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5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5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5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5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5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5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5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5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5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5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5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5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5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5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5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5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5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5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5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5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5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5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5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5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5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5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5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5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5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5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5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5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5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5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5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5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5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5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5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5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5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5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5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5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5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5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5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5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5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5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5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5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5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5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5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5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5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5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5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5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5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5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5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5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5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5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5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5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5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5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5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5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5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5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5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5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5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5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5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5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5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5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5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5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5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5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5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5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5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5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5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5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5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5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5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5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5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5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5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5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5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5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5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5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5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5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5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5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5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5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5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5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5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5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5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5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5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5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5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5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5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5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5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5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5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5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5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5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5.75" thickBot="1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5"/>
    <row r="261" spans="2:40" ht="15"/>
    <row r="262" spans="2:40" ht="15"/>
    <row r="263" spans="2:40" ht="15"/>
    <row r="264" spans="2:40" ht="15"/>
    <row r="265" spans="2:40" ht="15"/>
    <row r="266" spans="2:40" ht="15"/>
    <row r="267" spans="2:40" ht="15"/>
    <row r="268" spans="2:40" ht="15"/>
    <row r="269" spans="2:40" ht="15"/>
    <row r="270" spans="2:40" ht="15"/>
    <row r="271" spans="2:40" ht="15"/>
    <row r="272" spans="2:40" ht="1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'G-7 Rivers Data'!$AK$4:$AK$9</xm:f>
          </x14:formula1>
          <xm:sqref>J10:J257</xm:sqref>
        </x14:dataValidation>
        <x14:dataValidation type="list" allowBlank="1" showInputMessage="1" showErrorMessage="1">
          <x14:formula1>
            <xm:f>'G-7 Rivers Data'!$AD$4:$AD$7</xm:f>
          </x14:formula1>
          <xm:sqref>O10:O257</xm:sqref>
        </x14:dataValidation>
        <x14:dataValidation type="list" allowBlank="1" showInputMessage="1" showErrorMessage="1">
          <x14:formula1>
            <xm:f>'G-7 Rivers Data'!$B$4:$B$8</xm:f>
          </x14:formula1>
          <xm:sqref>D10:D257</xm:sqref>
        </x14:dataValidation>
        <x14:dataValidation type="list" allowBlank="1" showInputMessage="1" showErrorMessage="1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.75" thickBot="1"/>
    <row r="2" spans="2:37" ht="18.600000000000001" customHeight="1" thickBot="1">
      <c r="B2" s="884" t="str">
        <f>IF([2]Start!$F$12="","",[2]Start!$F$12)</f>
        <v/>
      </c>
      <c r="C2" s="885"/>
      <c r="D2" s="886"/>
      <c r="L2" s="1004" t="str">
        <f>IF(OR(COUNTIF(L$12:$L259,"*30+*")&gt;0,COUNTIF(P$12:$P259,"*30+*")&gt;0),"Note; Habitat selected has a time to target condition greater than 30 years. Non standard agreement may be required.","")</f>
        <v/>
      </c>
      <c r="M2" s="1004"/>
      <c r="N2" s="1004"/>
      <c r="O2" s="1004"/>
      <c r="P2" s="1004"/>
      <c r="Q2" s="1004"/>
    </row>
    <row r="3" spans="2:37" ht="15.6" customHeight="1" thickBot="1">
      <c r="B3" s="1059" t="str">
        <f ca="1">MID(CELL("filename",A1),FIND("]",CELL("filename",A1))+1,256)</f>
        <v>F-2 Off Site River Creation</v>
      </c>
      <c r="C3" s="1060"/>
      <c r="D3" s="1061"/>
      <c r="L3" s="1004"/>
      <c r="M3" s="1004"/>
      <c r="N3" s="1004"/>
      <c r="O3" s="1004"/>
      <c r="P3" s="1004"/>
      <c r="Q3" s="1004"/>
    </row>
    <row r="4" spans="2:37" ht="9.6" customHeight="1" thickBot="1">
      <c r="B4" s="1059"/>
      <c r="C4" s="1060"/>
      <c r="D4" s="1061"/>
      <c r="L4" s="1004"/>
      <c r="M4" s="1004"/>
      <c r="N4" s="1004"/>
      <c r="O4" s="1004"/>
      <c r="P4" s="1004"/>
      <c r="Q4" s="1004"/>
    </row>
    <row r="5" spans="2:37" ht="26.45" customHeight="1">
      <c r="L5" s="1004"/>
      <c r="M5" s="1004"/>
      <c r="N5" s="1004"/>
      <c r="O5" s="1004"/>
      <c r="P5" s="1004"/>
      <c r="Q5" s="1004"/>
    </row>
    <row r="6" spans="2:37" ht="23.25" customHeight="1">
      <c r="D6" s="165"/>
      <c r="L6" s="675"/>
      <c r="M6" s="675"/>
      <c r="N6" s="675"/>
      <c r="O6" s="675"/>
      <c r="P6" s="675"/>
    </row>
    <row r="7" spans="2:37" ht="15"/>
    <row r="8" spans="2:37" ht="15"/>
    <row r="9" spans="2:37" ht="15.75" customHeight="1" thickBot="1"/>
    <row r="10" spans="2:37" s="46" customFormat="1" ht="29.25" customHeight="1" thickBot="1">
      <c r="B10" s="387"/>
      <c r="C10" s="1074" t="s">
        <v>1079</v>
      </c>
      <c r="D10" s="1076"/>
      <c r="E10" s="1074" t="s">
        <v>981</v>
      </c>
      <c r="F10" s="1076"/>
      <c r="G10" s="1074" t="s">
        <v>1471</v>
      </c>
      <c r="H10" s="1076"/>
      <c r="I10" s="1050" t="s">
        <v>362</v>
      </c>
      <c r="J10" s="1050"/>
      <c r="K10" s="1050"/>
      <c r="L10" s="1050" t="s">
        <v>988</v>
      </c>
      <c r="M10" s="1050"/>
      <c r="N10" s="1050"/>
      <c r="O10" s="1050"/>
      <c r="P10" s="1050"/>
      <c r="Q10" s="1050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50" t="s">
        <v>1028</v>
      </c>
      <c r="AA10" s="1050"/>
      <c r="AB10" s="1040" t="s">
        <v>1035</v>
      </c>
      <c r="AC10" s="970" t="s">
        <v>145</v>
      </c>
      <c r="AD10" s="968"/>
    </row>
    <row r="11" spans="2:37" s="46" customFormat="1" ht="57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0"/>
      <c r="AC11" s="587" t="s">
        <v>991</v>
      </c>
      <c r="AD11" s="585" t="s">
        <v>992</v>
      </c>
      <c r="AK11" s="402" t="s">
        <v>1298</v>
      </c>
    </row>
    <row r="12" spans="2:37" ht="15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5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5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5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5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5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5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5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5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5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5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5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5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5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5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5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5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5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5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5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5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5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5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5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5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5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5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5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5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5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5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5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5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5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5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5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5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5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5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5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5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5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5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5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5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5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5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5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5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5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5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5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5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5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5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5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5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5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5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5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5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5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5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5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5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5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5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5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5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5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5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5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5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5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5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5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5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5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5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5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5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5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5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5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5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5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5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5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5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5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5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5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5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5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5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5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5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5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5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5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5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5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5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5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5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5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5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5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5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5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5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5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5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5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5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5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5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5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5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5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5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5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5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5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5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5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5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5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5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5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5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5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5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5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5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5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5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5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5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5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5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5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5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5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5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5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5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5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5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5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5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5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5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5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5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5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5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5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5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5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5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5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5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5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5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5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5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5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5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5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5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5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5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5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5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5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5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5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5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5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5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5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5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5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5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5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5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5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5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5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5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5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5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5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5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5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5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5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5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5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5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5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5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5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5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5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5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5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5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5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5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5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5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5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5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5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5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5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5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5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5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5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5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5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5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5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5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5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5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30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5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5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5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5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5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5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5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5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5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5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5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5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5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5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5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5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5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5.75" thickBot="1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5.75" thickBot="1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" customHeight="1"/>
    <row r="262" spans="2:37" ht="27" customHeight="1"/>
    <row r="263" spans="2:37" ht="15"/>
    <row r="264" spans="2:37" ht="15"/>
    <row r="265" spans="2:37" ht="15"/>
    <row r="266" spans="2:37" ht="15"/>
    <row r="267" spans="2:37" ht="15"/>
    <row r="268" spans="2:37" ht="15"/>
    <row r="269" spans="2:37" ht="15" hidden="1"/>
    <row r="270" spans="2:37" ht="15" hidden="1"/>
    <row r="271" spans="2:37" ht="15" hidden="1"/>
    <row r="272" spans="2:37" ht="15" hidden="1"/>
    <row r="273" ht="15" hidden="1"/>
    <row r="274" ht="15" hidden="1"/>
    <row r="275" ht="15" hidden="1"/>
    <row r="1048576" ht="1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'G-7 Rivers Data'!$AG$4:$AG$9</xm:f>
          </x14:formula1>
          <xm:sqref>I12:I259</xm:sqref>
        </x14:dataValidation>
        <x14:dataValidation type="list" allowBlank="1" showInputMessage="1" showErrorMessage="1">
          <x14:formula1>
            <xm:f>'G-7 Rivers Data'!$AD$4:$AD$7</xm:f>
          </x14:formula1>
          <xm:sqref>X12:X259</xm:sqref>
        </x14:dataValidation>
        <x14:dataValidation type="list" allowBlank="1" showInputMessage="1" showErrorMessage="1">
          <x14:formula1>
            <xm:f>'G-7 Rivers Data'!$AO$4:$AO$6</xm:f>
          </x14:formula1>
          <xm:sqref>Z12:Z259</xm:sqref>
        </x14:dataValidation>
        <x14:dataValidation type="list" allowBlank="1" showInputMessage="1" showErrorMessage="1">
          <x14:formula1>
            <xm:f>'G-7 Rivers Data'!$B$4:$B$8</xm:f>
          </x14:formula1>
          <xm:sqref>C12:C259</xm:sqref>
        </x14:dataValidation>
        <x14:dataValidation type="list" allowBlank="1" showInputMessage="1" showErrorMessage="1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/>
    <row r="2" spans="2:50" ht="27" customHeight="1" thickBot="1">
      <c r="B2" s="884" t="str">
        <f>IF([2]Start!$F$12="","",[2]Start!$F$12)</f>
        <v/>
      </c>
      <c r="C2" s="886"/>
      <c r="R2" s="166"/>
      <c r="Y2" s="1004" t="str">
        <f>IF(OR(COUNTIF($Y$12:Y259,"*30+*")&gt;0,COUNTIF($AC$12:AC259,"*30+*")&gt;0),"Note; Habitat selected has a time to target condition greater than 30 years. Non standard agreement may be required.","")</f>
        <v/>
      </c>
      <c r="Z2" s="1004"/>
      <c r="AA2" s="1004"/>
      <c r="AB2" s="1004"/>
      <c r="AC2" s="1004"/>
      <c r="AD2" s="1004"/>
    </row>
    <row r="3" spans="2:50" ht="21" customHeight="1">
      <c r="B3" s="1133" t="str">
        <f ca="1">MID(CELL("filename",A1),FIND("]",CELL("filename",A1))+1,256)</f>
        <v>F-3 Off Site River Enhancement</v>
      </c>
      <c r="C3" s="1134"/>
      <c r="Y3" s="1004"/>
      <c r="Z3" s="1004"/>
      <c r="AA3" s="1004"/>
      <c r="AB3" s="1004"/>
      <c r="AC3" s="1004"/>
      <c r="AD3" s="1004"/>
    </row>
    <row r="4" spans="2:50" ht="21" customHeight="1" thickBot="1">
      <c r="B4" s="1135"/>
      <c r="C4" s="1136"/>
      <c r="Y4" s="1004"/>
      <c r="Z4" s="1004"/>
      <c r="AA4" s="1004"/>
      <c r="AB4" s="1004"/>
      <c r="AC4" s="1004"/>
      <c r="AD4" s="1004"/>
    </row>
    <row r="5" spans="2:50" ht="15.6" customHeight="1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/>
    <row r="7" spans="2:50" ht="15">
      <c r="C7" s="165"/>
    </row>
    <row r="8" spans="2:50" ht="15.75" thickBot="1"/>
    <row r="9" spans="2:50" ht="15.75" thickBot="1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3"/>
      <c r="AO9" s="763"/>
    </row>
    <row r="10" spans="2:50" s="46" customFormat="1" ht="27" customHeight="1" thickBot="1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39" t="s">
        <v>1085</v>
      </c>
      <c r="O10" s="1137" t="s">
        <v>1065</v>
      </c>
      <c r="P10" s="1138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1028</v>
      </c>
      <c r="AN10" s="1074"/>
      <c r="AO10" s="1131" t="s">
        <v>1035</v>
      </c>
      <c r="AP10" s="970" t="s">
        <v>145</v>
      </c>
      <c r="AQ10" s="968"/>
    </row>
    <row r="11" spans="2:50" ht="60" customHeight="1" thickBot="1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40"/>
      <c r="O11" s="608" t="s">
        <v>1007</v>
      </c>
      <c r="P11" s="585" t="s">
        <v>360</v>
      </c>
      <c r="Q11" s="1130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2"/>
      <c r="AP11" s="587" t="s">
        <v>991</v>
      </c>
      <c r="AQ11" s="585" t="s">
        <v>992</v>
      </c>
      <c r="AX11" s="402" t="s">
        <v>1298</v>
      </c>
    </row>
    <row r="12" spans="2:50" ht="15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5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5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5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5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5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5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5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5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5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5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5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5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5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5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5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5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5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5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5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5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5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5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5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5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5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5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5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5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5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5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5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5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5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5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5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5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5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5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5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5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5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5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5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5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5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5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5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5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5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5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5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5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5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5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5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5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5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5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5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5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5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5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5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5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5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5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5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5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5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5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5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5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5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5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5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5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5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5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5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5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5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5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5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5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5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5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5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5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5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5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5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5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5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5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5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5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5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5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5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5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5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5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5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5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5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5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5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5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5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5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5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5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5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5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5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5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5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5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5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5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5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5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5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5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5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5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5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5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5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5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5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5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5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5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5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5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5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5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5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5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5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5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5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5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5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5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5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5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5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5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5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5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5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5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5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5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5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5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5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5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5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5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5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5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5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5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5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5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5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5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5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5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5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5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5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5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5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5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5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5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5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5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5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5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5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5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5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5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5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5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5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5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5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5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5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5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5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5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5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5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5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5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5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5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5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5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5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5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5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5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5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5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5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5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5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5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5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5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5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5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5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5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5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5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5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5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5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5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5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5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5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5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5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5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5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5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5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5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5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5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5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5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5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5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5.75" thickBot="1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5.75" thickBot="1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5"/>
    <row r="261" spans="2:50" ht="15"/>
    <row r="262" spans="2:50" ht="15"/>
    <row r="263" spans="2:50" ht="15"/>
    <row r="264" spans="2:50" ht="15"/>
    <row r="265" spans="2:50" ht="15"/>
    <row r="266" spans="2:50" ht="1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'[3]G-7 Rivers Data'!#REF!</xm:f>
          </x14:formula1>
          <xm:sqref>AI258:AI259</xm:sqref>
        </x14:dataValidation>
        <x14:dataValidation type="list" allowBlank="1" showInputMessage="1" showErrorMessage="1">
          <x14:formula1>
            <xm:f>'G-7 Rivers Data'!$AG$4:$AG$9</xm:f>
          </x14:formula1>
          <xm:sqref>V12:V257</xm:sqref>
        </x14:dataValidation>
        <x14:dataValidation type="list" allowBlank="1" showInputMessage="1" showErrorMessage="1">
          <x14:formula1>
            <xm:f>'G-7 Rivers Data'!$AD$4:$AD$7</xm:f>
          </x14:formula1>
          <xm:sqref>AK12:AK257</xm:sqref>
        </x14:dataValidation>
        <x14:dataValidation type="list" allowBlank="1" showInputMessage="1" showErrorMessage="1">
          <x14:formula1>
            <xm:f>'G-7 Rivers Data'!$AO$4:$AO$6</xm:f>
          </x14:formula1>
          <xm:sqref>AM12:AM257</xm:sqref>
        </x14:dataValidation>
        <x14:dataValidation type="list" allowBlank="1" showInputMessage="1" showErrorMessage="1">
          <x14:formula1>
            <xm:f>'G-7 Rivers Data'!$B$4:$B$8</xm:f>
          </x14:formula1>
          <xm:sqref>N12:N257</xm:sqref>
        </x14:dataValidation>
        <x14:dataValidation type="list" allowBlank="1" showInputMessage="1" showErrorMessage="1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5" zeroHeight="1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>
      <c r="D1" s="1144" t="s">
        <v>839</v>
      </c>
      <c r="E1" s="1144"/>
      <c r="F1" s="1144"/>
      <c r="G1" s="307"/>
      <c r="H1" s="307"/>
      <c r="I1" s="307"/>
      <c r="J1" s="307"/>
      <c r="V1" s="1055" t="s">
        <v>303</v>
      </c>
      <c r="W1" s="1141"/>
      <c r="X1" s="1057"/>
      <c r="Z1" s="1055" t="s">
        <v>304</v>
      </c>
      <c r="AA1" s="1057"/>
      <c r="AF1" s="1142" t="s">
        <v>1250</v>
      </c>
      <c r="AG1" s="1142" t="s">
        <v>1251</v>
      </c>
    </row>
    <row r="2" spans="1:33" s="144" customFormat="1" ht="41.45" customHeight="1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30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5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30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5.75" thickBot="1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5.75" thickBot="1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30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5.75" thickBot="1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5.75" thickBot="1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5.75" thickBot="1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5.75" thickBot="1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5.75" thickBot="1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5.75" thickBot="1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5.75" thickBot="1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5.75" thickBot="1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5.75" thickBot="1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5.75" thickBot="1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30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/>
    <row r="132" spans="1:19"/>
    <row r="133" spans="1:19"/>
    <row r="134" spans="1:19"/>
    <row r="135" spans="1:19"/>
    <row r="136" spans="1:19"/>
    <row r="137" spans="1:19"/>
    <row r="138" spans="1:19"/>
    <row r="139" spans="1:19"/>
    <row r="140" spans="1:19"/>
    <row r="141" spans="1:19"/>
    <row r="149"/>
    <row r="150"/>
    <row r="151"/>
    <row r="152"/>
    <row r="153"/>
    <row r="154"/>
    <row r="15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2578125" defaultRowHeight="15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70" ht="51.6" customHeight="1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3.25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5" customHeight="1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5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79.88</v>
      </c>
      <c r="AL4" s="139">
        <f t="shared" ref="AL4:AL16" si="11">SUMIF($B:$B,$AJ4,F:F)</f>
        <v>159.76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-79.88</v>
      </c>
      <c r="AP4" s="138">
        <f t="shared" ref="AP4:AP16" si="15">SUMIF($B:$B,$AJ4,R:R)</f>
        <v>-159.76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5" customHeight="1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21.150000000000002</v>
      </c>
      <c r="AL5" s="126">
        <f t="shared" si="11"/>
        <v>44.260000000000005</v>
      </c>
      <c r="AM5" s="126">
        <f>SUMIF($B:$B,$AJ5,O:O)</f>
        <v>97.86</v>
      </c>
      <c r="AN5" s="126">
        <f t="shared" si="13"/>
        <v>410.12861882344799</v>
      </c>
      <c r="AO5" s="138">
        <f t="shared" si="14"/>
        <v>76.710000000000008</v>
      </c>
      <c r="AP5" s="138">
        <f t="shared" si="15"/>
        <v>365.868618823448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5" customHeight="1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0.95</v>
      </c>
      <c r="AL6" s="126">
        <f t="shared" si="11"/>
        <v>3.8</v>
      </c>
      <c r="AM6" s="126">
        <f t="shared" si="12"/>
        <v>0.97</v>
      </c>
      <c r="AN6" s="126">
        <f t="shared" ca="1" si="13"/>
        <v>6.8005527595279993</v>
      </c>
      <c r="AO6" s="138">
        <f t="shared" si="14"/>
        <v>2.0000000000000018E-2</v>
      </c>
      <c r="AP6" s="138">
        <f t="shared" ca="1" si="15"/>
        <v>3.0005527595279995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5" customHeight="1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5" customHeight="1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79.88</v>
      </c>
      <c r="F8" s="111">
        <f>SUMIF('A-1 Site Habitat Baseline'!$G$11:$G$258,'G-2 Habitat groups'!A8,'A-1 Site Habitat Baseline'!$Q$11:$Q$258)</f>
        <v>159.76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79.88</v>
      </c>
      <c r="J8" s="111">
        <f>SUMIF('A-1 Site Habitat Baseline'!$G$11:$G$258,'G-2 Habitat groups'!A8,'A-1 Site Habitat Baseline'!$X$11:$X$258)</f>
        <v>159.76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-79.88</v>
      </c>
      <c r="R8" s="111">
        <f t="shared" si="3"/>
        <v>-159.76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-79.88</v>
      </c>
      <c r="AF8" s="111">
        <f t="shared" si="9"/>
        <v>-159.76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5" customHeight="1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0.78</v>
      </c>
      <c r="AL9" s="126">
        <f t="shared" si="11"/>
        <v>0</v>
      </c>
      <c r="AM9" s="126">
        <f t="shared" si="12"/>
        <v>3.9299999999999997</v>
      </c>
      <c r="AN9" s="126">
        <f t="shared" si="13"/>
        <v>0.12931000000000001</v>
      </c>
      <c r="AO9" s="138">
        <f t="shared" si="14"/>
        <v>3.1499999999999995</v>
      </c>
      <c r="AP9" s="138">
        <f t="shared" si="15"/>
        <v>0.12931000000000001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5" customHeight="1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2.25</v>
      </c>
      <c r="AL11" s="126">
        <f t="shared" si="11"/>
        <v>20.267999999999997</v>
      </c>
      <c r="AM11" s="126">
        <f t="shared" si="12"/>
        <v>2.25</v>
      </c>
      <c r="AN11" s="126">
        <f t="shared" si="13"/>
        <v>20.267999999999997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5" customHeight="1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5" customHeight="1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5" customHeight="1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5" customHeight="1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5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20.170000000000002</v>
      </c>
      <c r="F21" s="111">
        <f>SUMIF('A-1 Site Habitat Baseline'!$G$11:$G$258,'G-2 Habitat groups'!A21,'A-1 Site Habitat Baseline'!$Q$11:$Q$258)</f>
        <v>40.340000000000003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20.170000000000002</v>
      </c>
      <c r="J21" s="111">
        <f>SUMIF('A-1 Site Habitat Baseline'!$G$11:$G$258,'G-2 Habitat groups'!A21,'A-1 Site Habitat Baseline'!$X$11:$X$258)</f>
        <v>40.340000000000003</v>
      </c>
      <c r="K21" s="111">
        <f>SUMIF('A-2 Site Habitat Creation'!$F$11:$F$256,'G-2 Habitat groups'!A21,'A-2 Site Habitat Creation'!$G$11:$G$256)</f>
        <v>75.95</v>
      </c>
      <c r="L21" s="111">
        <f>SUMIF('A-2 Site Habitat Creation'!$F$11:$F$256,'G-2 Habitat groups'!A21,'A-2 Site Habitat Creation'!$Y$11:$Y$256)</f>
        <v>263.44928418228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75.95</v>
      </c>
      <c r="P21" s="111">
        <f t="shared" si="1"/>
        <v>263.44928418228</v>
      </c>
      <c r="Q21" s="111">
        <f t="shared" si="2"/>
        <v>55.78</v>
      </c>
      <c r="R21" s="111">
        <f t="shared" si="3"/>
        <v>223.10928418227999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55.78</v>
      </c>
      <c r="AF21" s="111">
        <f t="shared" si="9"/>
        <v>223.10928418227999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0.98</v>
      </c>
      <c r="F23" s="111">
        <f>SUMIF('A-1 Site Habitat Baseline'!$G$11:$G$258,'G-2 Habitat groups'!A23,'A-1 Site Habitat Baseline'!$Q$11:$Q$258)</f>
        <v>3.92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0.98</v>
      </c>
      <c r="J23" s="111">
        <f>SUMIF('A-1 Site Habitat Baseline'!$G$11:$G$258,'G-2 Habitat groups'!A23,'A-1 Site Habitat Baseline'!$X$11:$X$258)</f>
        <v>3.92</v>
      </c>
      <c r="K23" s="111">
        <f>SUMIF('A-2 Site Habitat Creation'!$F$11:$F$256,'G-2 Habitat groups'!A23,'A-2 Site Habitat Creation'!$G$11:$G$256)</f>
        <v>21.91</v>
      </c>
      <c r="L23" s="111">
        <f>SUMIF('A-2 Site Habitat Creation'!$F$11:$F$256,'G-2 Habitat groups'!A23,'A-2 Site Habitat Creation'!$Y$11:$Y$256)</f>
        <v>146.679334641168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21.91</v>
      </c>
      <c r="P23" s="111">
        <f t="shared" si="1"/>
        <v>146.679334641168</v>
      </c>
      <c r="Q23" s="111">
        <f t="shared" si="2"/>
        <v>20.93</v>
      </c>
      <c r="R23" s="111">
        <f t="shared" si="3"/>
        <v>142.75933464116801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20.93</v>
      </c>
      <c r="AF23" s="111">
        <f t="shared" si="9"/>
        <v>142.75933464116801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0.95</v>
      </c>
      <c r="F34" s="111">
        <f>SUMIF('A-1 Site Habitat Baseline'!$G$11:$G$258,'G-2 Habitat groups'!A34,'A-1 Site Habitat Baseline'!$Q$11:$Q$258)</f>
        <v>3.8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0.48</v>
      </c>
      <c r="J34" s="111">
        <f>SUMIF('A-1 Site Habitat Baseline'!$G$11:$G$258,'G-2 Habitat groups'!A34,'A-1 Site Habitat Baseline'!$X$11:$X$258)</f>
        <v>1.92</v>
      </c>
      <c r="K34" s="111">
        <f>SUMIF('A-2 Site Habitat Creation'!$F$11:$F$256,'G-2 Habitat groups'!A34,'A-2 Site Habitat Creation'!$G$11:$G$256)</f>
        <v>0.5</v>
      </c>
      <c r="L34" s="111">
        <f>SUMIF('A-2 Site Habitat Creation'!$F$11:$F$256,'G-2 Habitat groups'!A34,'A-2 Site Habitat Creation'!$Y$11:$Y$256)</f>
        <v>3.3473148024000001</v>
      </c>
      <c r="M34" s="111">
        <f>SUMIF('A-3 Site Habitat Enhancement'!$S$12:$S$257,'G-2 Habitat groups'!A34,'A-3 Site Habitat Enhancement'!$V$12:$V$257)</f>
        <v>0.47</v>
      </c>
      <c r="N34" s="111">
        <f ca="1">SUMIF('A-3 Site Habitat Enhancement'!$S$12:$S$257,'G-2 Habitat groups'!A34,'A-3 Site Habitat Enhancement'!$AN$12:$AN$257)</f>
        <v>3.4532379571279996</v>
      </c>
      <c r="O34" s="111">
        <f t="shared" si="0"/>
        <v>0.97</v>
      </c>
      <c r="P34" s="111">
        <f t="shared" ca="1" si="1"/>
        <v>6.8005527595279993</v>
      </c>
      <c r="Q34" s="111">
        <f t="shared" si="2"/>
        <v>2.0000000000000018E-2</v>
      </c>
      <c r="R34" s="111">
        <f t="shared" ca="1" si="3"/>
        <v>3.0005527595279995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2.0000000000000018E-2</v>
      </c>
      <c r="AF34" s="111">
        <f t="shared" ca="1" si="9"/>
        <v>3.0005527595279995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0.94</v>
      </c>
      <c r="AX54" s="111">
        <f t="shared" si="34"/>
        <v>0</v>
      </c>
      <c r="AY54" s="111">
        <f t="shared" si="35"/>
        <v>0.94</v>
      </c>
      <c r="AZ54" s="111">
        <f t="shared" si="36"/>
        <v>12.407999999999999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0.05</v>
      </c>
      <c r="L61" s="111">
        <f>SUMIF('A-2 Site Habitat Creation'!$F$11:$F$256,'G-2 Habitat groups'!A61,'A-2 Site Habitat Creation'!$Y$11:$Y$256)</f>
        <v>0.12931000000000001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0.05</v>
      </c>
      <c r="P61" s="111">
        <f t="shared" si="44"/>
        <v>0.12931000000000001</v>
      </c>
      <c r="Q61" s="111">
        <f t="shared" si="45"/>
        <v>0.05</v>
      </c>
      <c r="R61" s="111">
        <f t="shared" si="46"/>
        <v>0.12931000000000001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0.05</v>
      </c>
      <c r="AF61" s="111">
        <f t="shared" si="52"/>
        <v>0.12931000000000001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0.78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0.78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0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3.1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3.88</v>
      </c>
      <c r="P65" s="111">
        <f t="shared" si="44"/>
        <v>0</v>
      </c>
      <c r="Q65" s="111">
        <f t="shared" si="45"/>
        <v>3.0999999999999996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3.0999999999999996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0</v>
      </c>
      <c r="L79" s="111">
        <f>SUMIF('A-2 Site Habitat Creation'!$F$11:$F$256,'G-2 Habitat groups'!A79,'A-2 Site Habitat Creation'!$Y$11:$Y$256)</f>
        <v>0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</v>
      </c>
      <c r="P79" s="111">
        <f t="shared" si="54"/>
        <v>0</v>
      </c>
      <c r="Q79" s="111">
        <f t="shared" si="55"/>
        <v>0</v>
      </c>
      <c r="R79" s="111">
        <f t="shared" si="56"/>
        <v>0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0</v>
      </c>
      <c r="AF79" s="111">
        <f t="shared" si="62"/>
        <v>0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0.98</v>
      </c>
      <c r="AX84" s="111">
        <f t="shared" si="64"/>
        <v>3.92</v>
      </c>
      <c r="AY84" s="111">
        <f t="shared" si="65"/>
        <v>21.91</v>
      </c>
      <c r="AZ84" s="111">
        <f t="shared" si="66"/>
        <v>146.679334641168</v>
      </c>
      <c r="BA84" s="111">
        <f t="shared" si="67"/>
        <v>20.93</v>
      </c>
      <c r="BB84" s="111">
        <f t="shared" si="68"/>
        <v>142.75933464116801</v>
      </c>
      <c r="BC84" s="111">
        <f t="shared" si="69"/>
        <v>0</v>
      </c>
      <c r="BD84" s="111">
        <f t="shared" si="70"/>
        <v>0</v>
      </c>
      <c r="BE84" s="111">
        <f t="shared" si="77"/>
        <v>142.75933464116801</v>
      </c>
      <c r="BF84" s="111" t="str">
        <f t="shared" si="78"/>
        <v/>
      </c>
    </row>
    <row r="85" spans="1:58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0.94</v>
      </c>
      <c r="F90" s="111">
        <f>SUMIF('A-1 Site Habitat Baseline'!$G$11:$G$258,'G-2 Habitat groups'!A90,'A-1 Site Habitat Baseline'!$Q$11:$Q$258)</f>
        <v>12.407999999999999</v>
      </c>
      <c r="G90" s="111">
        <f>SUMIF('A-1 Site Habitat Baseline'!$G$11:$G$258,'G-2 Habitat groups'!A90,'A-1 Site Habitat Baseline'!$S$11:$S$258)</f>
        <v>0.94</v>
      </c>
      <c r="H90" s="111">
        <f>SUMIF('A-1 Site Habitat Baseline'!$G$11:$G$258,'G-2 Habitat groups'!A90,'A-1 Site Habitat Baseline'!$U$11:$U$258)</f>
        <v>12.407999999999999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0.94</v>
      </c>
      <c r="P90" s="111">
        <f t="shared" si="54"/>
        <v>12.407999999999999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0.95</v>
      </c>
      <c r="AX91" s="111">
        <f t="shared" si="64"/>
        <v>1.92</v>
      </c>
      <c r="AY91" s="111">
        <f t="shared" si="65"/>
        <v>0.97</v>
      </c>
      <c r="AZ91" s="111">
        <f t="shared" ca="1" si="66"/>
        <v>6.8005527595279993</v>
      </c>
      <c r="BA91" s="111">
        <f t="shared" si="67"/>
        <v>2.0000000000000018E-2</v>
      </c>
      <c r="BB91" s="111">
        <f t="shared" ca="1" si="68"/>
        <v>3.0005527595279995</v>
      </c>
      <c r="BC91" s="111">
        <f t="shared" si="69"/>
        <v>0</v>
      </c>
      <c r="BD91" s="111">
        <f t="shared" si="70"/>
        <v>0</v>
      </c>
      <c r="BE91" s="111">
        <f t="shared" ca="1" si="77"/>
        <v>3.0005527595279995</v>
      </c>
      <c r="BF91" s="111" t="str">
        <f t="shared" ca="1" si="78"/>
        <v/>
      </c>
    </row>
    <row r="92" spans="1:58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0.86</v>
      </c>
      <c r="F94" s="111">
        <f>SUMIF('A-1 Site Habitat Baseline'!$G$11:$G$258,'G-2 Habitat groups'!A94,'A-1 Site Habitat Baseline'!$Q$11:$Q$258)</f>
        <v>5.16</v>
      </c>
      <c r="G94" s="111">
        <f>SUMIF('A-1 Site Habitat Baseline'!$G$11:$G$258,'G-2 Habitat groups'!A94,'A-1 Site Habitat Baseline'!$S$11:$S$258)</f>
        <v>0.86</v>
      </c>
      <c r="H94" s="111">
        <f>SUMIF('A-1 Site Habitat Baseline'!$G$11:$G$258,'G-2 Habitat groups'!A94,'A-1 Site Habitat Baseline'!$U$11:$U$258)</f>
        <v>5.16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0.86</v>
      </c>
      <c r="P94" s="111">
        <f t="shared" si="54"/>
        <v>5.16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0.45</v>
      </c>
      <c r="F95" s="111">
        <f>SUMIF('A-1 Site Habitat Baseline'!$G$11:$G$258,'G-2 Habitat groups'!A95,'A-1 Site Habitat Baseline'!$Q$11:$Q$258)</f>
        <v>2.7</v>
      </c>
      <c r="G95" s="111">
        <f>SUMIF('A-1 Site Habitat Baseline'!$G$11:$G$258,'G-2 Habitat groups'!A95,'A-1 Site Habitat Baseline'!$S$11:$S$258)</f>
        <v>0.45</v>
      </c>
      <c r="H95" s="111">
        <f>SUMIF('A-1 Site Habitat Baseline'!$G$11:$G$258,'G-2 Habitat groups'!A95,'A-1 Site Habitat Baseline'!$U$11:$U$258)</f>
        <v>2.7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0.45</v>
      </c>
      <c r="P95" s="111">
        <f t="shared" si="54"/>
        <v>2.7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0.86</v>
      </c>
      <c r="AX99" s="111">
        <f t="shared" si="64"/>
        <v>0</v>
      </c>
      <c r="AY99" s="111">
        <f t="shared" si="80"/>
        <v>0.86</v>
      </c>
      <c r="AZ99" s="111">
        <f t="shared" si="81"/>
        <v>5.16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0.45</v>
      </c>
      <c r="AX100" s="111">
        <f t="shared" si="64"/>
        <v>0</v>
      </c>
      <c r="AY100" s="111">
        <f t="shared" si="80"/>
        <v>0.45</v>
      </c>
      <c r="AZ100" s="111">
        <f t="shared" si="81"/>
        <v>2.7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30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5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79.88</v>
      </c>
      <c r="AX111" s="111">
        <f t="shared" ref="AX111:AX146" si="102">VLOOKUP($AU111,AllHabsSummaryData,10,FALSE)</f>
        <v>159.76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-79.88</v>
      </c>
      <c r="BB111" s="111">
        <f t="shared" ref="BB111:BB123" si="106">VLOOKUP($AU111,AllHabsSummaryData,18,FALSE)</f>
        <v>-159.76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-159.76</v>
      </c>
      <c r="BF111" s="111">
        <f>IF(BE111&lt;0,BE111,"")</f>
        <v>-159.76</v>
      </c>
    </row>
    <row r="112" spans="1:59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20.170000000000002</v>
      </c>
      <c r="AX117" s="111">
        <f t="shared" si="102"/>
        <v>40.340000000000003</v>
      </c>
      <c r="AY117" s="111">
        <f t="shared" si="103"/>
        <v>75.95</v>
      </c>
      <c r="AZ117" s="111">
        <f t="shared" si="104"/>
        <v>263.44928418228</v>
      </c>
      <c r="BA117" s="111">
        <f t="shared" si="105"/>
        <v>55.78</v>
      </c>
      <c r="BB117" s="111">
        <f t="shared" si="106"/>
        <v>223.10928418227999</v>
      </c>
      <c r="BC117" s="111">
        <f t="shared" si="107"/>
        <v>0</v>
      </c>
      <c r="BD117" s="111">
        <f t="shared" si="108"/>
        <v>0</v>
      </c>
      <c r="BE117" s="111">
        <f>BB117+BD117</f>
        <v>223.10928418227999</v>
      </c>
      <c r="BF117" s="111" t="str">
        <f>IF(BE117&lt;0,BE117,"")</f>
        <v/>
      </c>
    </row>
    <row r="118" spans="1:58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0.05</v>
      </c>
      <c r="AZ122" s="111">
        <f t="shared" si="104"/>
        <v>0.12931000000000001</v>
      </c>
      <c r="BA122" s="111">
        <f t="shared" si="105"/>
        <v>0.05</v>
      </c>
      <c r="BB122" s="111">
        <f t="shared" si="106"/>
        <v>0.12931000000000001</v>
      </c>
      <c r="BC122" s="111">
        <f t="shared" si="107"/>
        <v>0</v>
      </c>
      <c r="BD122" s="111">
        <f t="shared" si="108"/>
        <v>0</v>
      </c>
      <c r="BE122" s="111">
        <f t="shared" si="114"/>
        <v>0.12931000000000001</v>
      </c>
      <c r="BF122" s="111" t="str">
        <f t="shared" si="115"/>
        <v/>
      </c>
    </row>
    <row r="123" spans="1:58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0</v>
      </c>
      <c r="AZ134" s="111">
        <f t="shared" si="119"/>
        <v>0</v>
      </c>
      <c r="BA134" s="111">
        <f t="shared" si="120"/>
        <v>0</v>
      </c>
      <c r="BB134" s="111">
        <f t="shared" si="121"/>
        <v>0</v>
      </c>
      <c r="BC134" s="111">
        <f t="shared" si="122"/>
        <v>0</v>
      </c>
      <c r="BD134" s="111">
        <f t="shared" si="123"/>
        <v>0</v>
      </c>
      <c r="BE134" s="111">
        <f t="shared" si="124"/>
        <v>0</v>
      </c>
      <c r="BF134" s="111" t="str">
        <f t="shared" si="125"/>
        <v/>
      </c>
    </row>
    <row r="135" spans="1:58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75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3.25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57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0.15</v>
      </c>
      <c r="F147" s="111">
        <f>SUMIF('B-1 Site Hedge Baseline'!$D$10:$D$257,'G-2 Habitat groups'!A147,'B-1 Site Hedge Baseline'!$N$10:$N$257)</f>
        <v>2.4</v>
      </c>
      <c r="G147" s="111">
        <f>SUMIF('B-1 Site Hedge Baseline'!$D$10:$D$257,'G-2 Habitat groups'!A147,'B-1 Site Hedge Baseline'!$P$10:$P$257)</f>
        <v>0.15</v>
      </c>
      <c r="H147" s="111">
        <f>SUMIF('B-1 Site Hedge Baseline'!$D$10:$D$257,'G-2 Habitat groups'!A147,'B-1 Site Hedge Baseline'!$R$10:$R$257)</f>
        <v>2.4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 ca="1">SUMIF('B-3 Site Hedge Enhancement'!$M$12:$M$257,'G-2 Habitat groups'!A147,'B-3 Site Hedge Enhancement'!$P$12:$P$257)</f>
        <v>0</v>
      </c>
      <c r="N147" s="111">
        <f ca="1">SUMIF('B-3 Site Hedge Enhancement'!$M$12:$M$257,'G-2 Habitat groups'!A147,'B-3 Site Hedge Enhancement'!$AH$12:$AH$257)</f>
        <v>0</v>
      </c>
      <c r="O147" s="111">
        <f t="shared" ref="O147:O159" ca="1" si="140">G147+K147+M147</f>
        <v>0.15</v>
      </c>
      <c r="P147" s="111">
        <f t="shared" ref="P147:P159" ca="1" si="141">H147+L147+N147</f>
        <v>2.4</v>
      </c>
      <c r="Q147" s="111">
        <f t="shared" ref="Q147:Q159" ca="1" si="142">O147-E147</f>
        <v>0</v>
      </c>
      <c r="R147" s="111">
        <f t="shared" ref="R147:R159" ca="1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ca="1" si="146">Q147+AC147</f>
        <v>0</v>
      </c>
      <c r="AF147" s="111">
        <f t="shared" ref="AF147:AF159" ca="1" si="147">R147+AD147</f>
        <v>0</v>
      </c>
    </row>
    <row r="148" spans="1:59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1.26</v>
      </c>
      <c r="L148" s="111">
        <f>SUMIF('B-2 Site Hedge Creation'!$D$12:$D$259,'G-2 Habitat groups'!A148,'B-2 Site Hedge Creation'!$W$12:$W$259)</f>
        <v>10.588267985903999</v>
      </c>
      <c r="M148" s="111">
        <f ca="1">SUMIF('B-3 Site Hedge Enhancement'!$M$12:$M$257,'G-2 Habitat groups'!A148,'B-3 Site Hedge Enhancement'!$P$12:$P$257)</f>
        <v>0</v>
      </c>
      <c r="N148" s="111">
        <f ca="1">SUMIF('B-3 Site Hedge Enhancement'!$M$12:$M$257,'G-2 Habitat groups'!A148,'B-3 Site Hedge Enhancement'!$AH$12:$AH$257)</f>
        <v>0</v>
      </c>
      <c r="O148" s="111">
        <f t="shared" ca="1" si="140"/>
        <v>1.26</v>
      </c>
      <c r="P148" s="111">
        <f t="shared" ca="1" si="141"/>
        <v>10.588267985903999</v>
      </c>
      <c r="Q148" s="111">
        <f t="shared" ca="1" si="142"/>
        <v>1.26</v>
      </c>
      <c r="R148" s="111">
        <f t="shared" ca="1" si="143"/>
        <v>10.588267985903999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ca="1" si="146"/>
        <v>1.26</v>
      </c>
      <c r="AF148" s="111">
        <f t="shared" ca="1" si="147"/>
        <v>10.588267985903999</v>
      </c>
    </row>
    <row r="149" spans="1:59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 ca="1">SUMIF('B-3 Site Hedge Enhancement'!$M$12:$M$257,'G-2 Habitat groups'!A149,'B-3 Site Hedge Enhancement'!$P$12:$P$257)</f>
        <v>0</v>
      </c>
      <c r="N149" s="111">
        <f ca="1">SUMIF('B-3 Site Hedge Enhancement'!$M$12:$M$257,'G-2 Habitat groups'!A149,'B-3 Site Hedge Enhancement'!$AH$12:$AH$257)</f>
        <v>0</v>
      </c>
      <c r="O149" s="111">
        <f t="shared" ca="1" si="140"/>
        <v>0</v>
      </c>
      <c r="P149" s="111">
        <f t="shared" ca="1" si="141"/>
        <v>0</v>
      </c>
      <c r="Q149" s="111">
        <f t="shared" ca="1" si="142"/>
        <v>0</v>
      </c>
      <c r="R149" s="111">
        <f t="shared" ca="1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ca="1" si="146"/>
        <v>0</v>
      </c>
      <c r="AF149" s="111">
        <f t="shared" ca="1" si="147"/>
        <v>0</v>
      </c>
    </row>
    <row r="150" spans="1:59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 ca="1">SUMIF('B-3 Site Hedge Enhancement'!$M$12:$M$257,'G-2 Habitat groups'!A150,'B-3 Site Hedge Enhancement'!$P$12:$P$257)</f>
        <v>0</v>
      </c>
      <c r="N150" s="111">
        <f ca="1">SUMIF('B-3 Site Hedge Enhancement'!$M$12:$M$257,'G-2 Habitat groups'!A150,'B-3 Site Hedge Enhancement'!$AH$12:$AH$257)</f>
        <v>0</v>
      </c>
      <c r="O150" s="111">
        <f t="shared" ca="1" si="140"/>
        <v>0</v>
      </c>
      <c r="P150" s="111">
        <f t="shared" ca="1" si="141"/>
        <v>0</v>
      </c>
      <c r="Q150" s="111">
        <f t="shared" ca="1" si="142"/>
        <v>0</v>
      </c>
      <c r="R150" s="111">
        <f t="shared" ca="1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ca="1" si="146"/>
        <v>0</v>
      </c>
      <c r="AF150" s="111">
        <f t="shared" ca="1" si="147"/>
        <v>0</v>
      </c>
    </row>
    <row r="151" spans="1:59" ht="34.5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 ca="1">SUMIF('B-3 Site Hedge Enhancement'!$M$12:$M$257,'G-2 Habitat groups'!A151,'B-3 Site Hedge Enhancement'!$P$12:$P$257)</f>
        <v>0</v>
      </c>
      <c r="N151" s="542">
        <f ca="1">SUMIF('B-3 Site Hedge Enhancement'!$M$12:$M$257,'G-2 Habitat groups'!A151,'B-3 Site Hedge Enhancement'!$AH$12:$AH$257)</f>
        <v>0</v>
      </c>
      <c r="O151" s="542">
        <f t="shared" ca="1" si="140"/>
        <v>0</v>
      </c>
      <c r="P151" s="542">
        <f t="shared" ca="1" si="141"/>
        <v>0</v>
      </c>
      <c r="Q151" s="542">
        <f t="shared" ca="1" si="142"/>
        <v>0</v>
      </c>
      <c r="R151" s="542">
        <f t="shared" ca="1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ca="1" si="146"/>
        <v>0</v>
      </c>
      <c r="AF151" s="542">
        <f t="shared" ca="1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5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 ca="1">SUMIF('B-3 Site Hedge Enhancement'!$M$12:$M$257,'G-2 Habitat groups'!A152,'B-3 Site Hedge Enhancement'!$P$12:$P$257)</f>
        <v>0</v>
      </c>
      <c r="N152" s="542">
        <f ca="1">SUMIF('B-3 Site Hedge Enhancement'!$M$12:$M$257,'G-2 Habitat groups'!A152,'B-3 Site Hedge Enhancement'!$AH$12:$AH$257)</f>
        <v>0</v>
      </c>
      <c r="O152" s="542">
        <f t="shared" ca="1" si="140"/>
        <v>0</v>
      </c>
      <c r="P152" s="542">
        <f t="shared" ca="1" si="141"/>
        <v>0</v>
      </c>
      <c r="Q152" s="542">
        <f t="shared" ca="1" si="142"/>
        <v>0</v>
      </c>
      <c r="R152" s="542">
        <f t="shared" ca="1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ca="1" si="146"/>
        <v>0</v>
      </c>
      <c r="AF152" s="542">
        <f t="shared" ca="1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0.99</v>
      </c>
      <c r="F153" s="111">
        <f>SUMIF('B-1 Site Hedge Baseline'!$D$10:$D$257,'G-2 Habitat groups'!A153,'B-1 Site Hedge Baseline'!$N$10:$N$257)</f>
        <v>7.92</v>
      </c>
      <c r="G153" s="111">
        <f>SUMIF('B-1 Site Hedge Baseline'!$D$10:$D$257,'G-2 Habitat groups'!A153,'B-1 Site Hedge Baseline'!$P$10:$P$257)</f>
        <v>0.99</v>
      </c>
      <c r="H153" s="111">
        <f>SUMIF('B-1 Site Hedge Baseline'!$D$10:$D$257,'G-2 Habitat groups'!A153,'B-1 Site Hedge Baseline'!$R$10:$R$257)</f>
        <v>7.92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 ca="1">SUMIF('B-3 Site Hedge Enhancement'!$M$12:$M$257,'G-2 Habitat groups'!A153,'B-3 Site Hedge Enhancement'!$P$12:$P$257)</f>
        <v>0</v>
      </c>
      <c r="N153" s="111">
        <f ca="1">SUMIF('B-3 Site Hedge Enhancement'!$M$12:$M$257,'G-2 Habitat groups'!A153,'B-3 Site Hedge Enhancement'!$AH$12:$AH$257)</f>
        <v>0</v>
      </c>
      <c r="O153" s="111">
        <f t="shared" ca="1" si="140"/>
        <v>0.99</v>
      </c>
      <c r="P153" s="111">
        <f t="shared" ca="1" si="141"/>
        <v>7.92</v>
      </c>
      <c r="Q153" s="111">
        <f t="shared" ca="1" si="142"/>
        <v>0</v>
      </c>
      <c r="R153" s="111">
        <f t="shared" ca="1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ca="1" si="146"/>
        <v>0</v>
      </c>
      <c r="AF153" s="111">
        <f t="shared" ca="1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 ca="1">SUMIF('B-3 Site Hedge Enhancement'!$M$12:$M$257,'G-2 Habitat groups'!A154,'B-3 Site Hedge Enhancement'!$P$12:$P$257)</f>
        <v>0</v>
      </c>
      <c r="N154" s="111">
        <f ca="1">SUMIF('B-3 Site Hedge Enhancement'!$M$12:$M$257,'G-2 Habitat groups'!A154,'B-3 Site Hedge Enhancement'!$AH$12:$AH$257)</f>
        <v>0</v>
      </c>
      <c r="O154" s="111">
        <f t="shared" ca="1" si="140"/>
        <v>0</v>
      </c>
      <c r="P154" s="111">
        <f t="shared" ca="1" si="141"/>
        <v>0</v>
      </c>
      <c r="Q154" s="111">
        <f t="shared" ca="1" si="142"/>
        <v>0</v>
      </c>
      <c r="R154" s="111">
        <f t="shared" ca="1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ca="1" si="146"/>
        <v>0</v>
      </c>
      <c r="AF154" s="111">
        <f t="shared" ca="1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0.35</v>
      </c>
      <c r="F155" s="111">
        <f>SUMIF('B-1 Site Hedge Baseline'!$D$10:$D$257,'G-2 Habitat groups'!A155,'B-1 Site Hedge Baseline'!$N$10:$N$257)</f>
        <v>2.8</v>
      </c>
      <c r="G155" s="111">
        <f>SUMIF('B-1 Site Hedge Baseline'!$D$10:$D$257,'G-2 Habitat groups'!A155,'B-1 Site Hedge Baseline'!$P$10:$P$257)</f>
        <v>0.35</v>
      </c>
      <c r="H155" s="111">
        <f>SUMIF('B-1 Site Hedge Baseline'!$D$10:$D$257,'G-2 Habitat groups'!A155,'B-1 Site Hedge Baseline'!$R$10:$R$257)</f>
        <v>2.8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 ca="1">SUMIF('B-3 Site Hedge Enhancement'!$M$12:$M$257,'G-2 Habitat groups'!A155,'B-3 Site Hedge Enhancement'!$P$12:$P$257)</f>
        <v>0</v>
      </c>
      <c r="N155" s="111">
        <f ca="1">SUMIF('B-3 Site Hedge Enhancement'!$M$12:$M$257,'G-2 Habitat groups'!A155,'B-3 Site Hedge Enhancement'!$AH$12:$AH$257)</f>
        <v>0</v>
      </c>
      <c r="O155" s="111">
        <f t="shared" ca="1" si="140"/>
        <v>0.35</v>
      </c>
      <c r="P155" s="111">
        <f t="shared" ca="1" si="141"/>
        <v>2.8</v>
      </c>
      <c r="Q155" s="111">
        <f t="shared" ca="1" si="142"/>
        <v>0</v>
      </c>
      <c r="R155" s="111">
        <f t="shared" ca="1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ca="1" si="146"/>
        <v>0</v>
      </c>
      <c r="AF155" s="111">
        <f t="shared" ca="1" si="147"/>
        <v>0</v>
      </c>
      <c r="AU155" s="131" t="s">
        <v>280</v>
      </c>
      <c r="AV155" s="100" t="s">
        <v>166</v>
      </c>
      <c r="AW155" s="111">
        <f>VLOOKUP($AU155,AllHabsSummaryData,5,FALSE)</f>
        <v>0.78</v>
      </c>
      <c r="AX155" s="111">
        <f>VLOOKUP($AU155,AllHabsSummaryData,10,FALSE)</f>
        <v>0</v>
      </c>
      <c r="AY155" s="111">
        <f>VLOOKUP($AU155,AllHabsSummaryData,15,FALSE)</f>
        <v>3.88</v>
      </c>
      <c r="AZ155" s="111">
        <f>VLOOKUP($AU155,AllHabsSummaryData,16,FALSE)</f>
        <v>0</v>
      </c>
      <c r="BA155" s="111">
        <f>VLOOKUP($AU155,AllHabsSummaryData,17,FALSE)</f>
        <v>3.0999999999999996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6.84</v>
      </c>
      <c r="F156" s="111">
        <f>SUMIF('B-1 Site Hedge Baseline'!$D$10:$D$257,'G-2 Habitat groups'!A156,'B-1 Site Hedge Baseline'!$N$10:$N$257)</f>
        <v>27.36</v>
      </c>
      <c r="G156" s="111">
        <f>SUMIF('B-1 Site Hedge Baseline'!$D$10:$D$257,'G-2 Habitat groups'!A156,'B-1 Site Hedge Baseline'!$P$10:$P$257)</f>
        <v>5.58</v>
      </c>
      <c r="H156" s="111">
        <f>SUMIF('B-1 Site Hedge Baseline'!$D$10:$D$257,'G-2 Habitat groups'!A156,'B-1 Site Hedge Baseline'!$R$10:$R$257)</f>
        <v>22.32</v>
      </c>
      <c r="I156" s="111">
        <f>SUMIF('B-1 Site Hedge Baseline'!$D$10:$D$257,'G-2 Habitat groups'!A156,'B-1 Site Hedge Baseline'!$T$10:$T$257)</f>
        <v>5.5511151231257827E-16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 ca="1">SUMIF('B-3 Site Hedge Enhancement'!$M$12:$M$257,'G-2 Habitat groups'!A156,'B-3 Site Hedge Enhancement'!$P$12:$P$257)</f>
        <v>1.2599999999999998</v>
      </c>
      <c r="N156" s="111">
        <f ca="1">SUMIF('B-3 Site Hedge Enhancement'!$M$12:$M$257,'G-2 Habitat groups'!A156,'B-3 Site Hedge Enhancement'!$AH$12:$AH$257)</f>
        <v>7.3866869999999993</v>
      </c>
      <c r="O156" s="111">
        <f t="shared" ca="1" si="140"/>
        <v>6.84</v>
      </c>
      <c r="P156" s="111">
        <f t="shared" ca="1" si="141"/>
        <v>29.706686999999999</v>
      </c>
      <c r="Q156" s="111">
        <f t="shared" ca="1" si="142"/>
        <v>0</v>
      </c>
      <c r="R156" s="111">
        <f t="shared" ca="1" si="143"/>
        <v>2.3466869999999993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ca="1" si="146"/>
        <v>0</v>
      </c>
      <c r="AF156" s="111">
        <f t="shared" ca="1" si="147"/>
        <v>2.3466869999999993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 ca="1">SUMIF('B-3 Site Hedge Enhancement'!$M$12:$M$257,'G-2 Habitat groups'!A157,'B-3 Site Hedge Enhancement'!$P$12:$P$257)</f>
        <v>0</v>
      </c>
      <c r="N157" s="111">
        <f ca="1">SUMIF('B-3 Site Hedge Enhancement'!$M$12:$M$257,'G-2 Habitat groups'!A157,'B-3 Site Hedge Enhancement'!$AH$12:$AH$257)</f>
        <v>0</v>
      </c>
      <c r="O157" s="111">
        <f t="shared" ca="1" si="140"/>
        <v>0</v>
      </c>
      <c r="P157" s="111">
        <f t="shared" ca="1" si="141"/>
        <v>0</v>
      </c>
      <c r="Q157" s="111">
        <f t="shared" ca="1" si="142"/>
        <v>0</v>
      </c>
      <c r="R157" s="111">
        <f t="shared" ca="1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ca="1" si="146"/>
        <v>0</v>
      </c>
      <c r="AF157" s="111">
        <f t="shared" ca="1" si="147"/>
        <v>0</v>
      </c>
    </row>
    <row r="158" spans="1:59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 ca="1">SUMIF('B-3 Site Hedge Enhancement'!$M$12:$M$257,'G-2 Habitat groups'!A158,'B-3 Site Hedge Enhancement'!$P$12:$P$257)</f>
        <v>0</v>
      </c>
      <c r="N158" s="111">
        <f ca="1">SUMIF('B-3 Site Hedge Enhancement'!$M$12:$M$257,'G-2 Habitat groups'!A158,'B-3 Site Hedge Enhancement'!$AH$12:$AH$257)</f>
        <v>0</v>
      </c>
      <c r="O158" s="111">
        <f t="shared" ca="1" si="140"/>
        <v>0</v>
      </c>
      <c r="P158" s="111">
        <f t="shared" ca="1" si="141"/>
        <v>0</v>
      </c>
      <c r="Q158" s="111">
        <f t="shared" ca="1" si="142"/>
        <v>0</v>
      </c>
      <c r="R158" s="111">
        <f t="shared" ca="1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ca="1" si="146"/>
        <v>0</v>
      </c>
      <c r="AF158" s="111">
        <f t="shared" ca="1" si="147"/>
        <v>0</v>
      </c>
    </row>
    <row r="159" spans="1:59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 ca="1">SUMIF('B-3 Site Hedge Enhancement'!$M$12:$M$257,'G-2 Habitat groups'!A159,'B-3 Site Hedge Enhancement'!$P$12:$P$257)</f>
        <v>0</v>
      </c>
      <c r="N159" s="111">
        <f ca="1">SUMIF('B-3 Site Hedge Enhancement'!$M$12:$M$257,'G-2 Habitat groups'!A159,'B-3 Site Hedge Enhancement'!$AH$12:$AH$257)</f>
        <v>0</v>
      </c>
      <c r="O159" s="111">
        <f t="shared" ca="1" si="140"/>
        <v>0</v>
      </c>
      <c r="P159" s="111">
        <f t="shared" ca="1" si="141"/>
        <v>0</v>
      </c>
      <c r="Q159" s="111">
        <f t="shared" ca="1" si="142"/>
        <v>0</v>
      </c>
      <c r="R159" s="111">
        <f t="shared" ca="1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ca="1" si="146"/>
        <v>0</v>
      </c>
      <c r="AF159" s="111">
        <f t="shared" ca="1" si="147"/>
        <v>0</v>
      </c>
    </row>
    <row r="164" spans="1:32" ht="27.75">
      <c r="A164" s="529" t="s">
        <v>1373</v>
      </c>
    </row>
    <row r="167" spans="1:32" ht="23.25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57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5" zeroHeight="1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5" t="s">
        <v>1500</v>
      </c>
      <c r="T2" s="967"/>
      <c r="W2" s="1150" t="s">
        <v>812</v>
      </c>
      <c r="X2" s="1151"/>
      <c r="Y2" s="1151"/>
      <c r="Z2" s="1152"/>
    </row>
    <row r="3" spans="1:26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5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30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5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" customHeight="1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" customHeight="1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" customHeight="1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/>
    <row r="132" spans="1:5"/>
    <row r="133" spans="1:5"/>
    <row r="134" spans="1:5"/>
    <row r="135" spans="1:5"/>
    <row r="136" spans="1:5"/>
    <row r="137" spans="1:5"/>
    <row r="138" spans="1:5"/>
    <row r="139" spans="1:5"/>
    <row r="140" spans="1:5"/>
    <row r="141" spans="1:5"/>
    <row r="142" spans="1: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>
    <sortState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>
      <formula1>$P$3:$P$6</formula1>
    </dataValidation>
    <dataValidation type="list" allowBlank="1" showInputMessage="1" showErrorMessage="1" sqref="C3:C130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>
      <c r="B16" s="16"/>
      <c r="C16" s="16"/>
    </row>
    <row r="17" spans="2:3" ht="16.5" customHeight="1">
      <c r="B17" s="16"/>
      <c r="C17" s="16"/>
    </row>
    <row r="18" spans="2:3" ht="16.5" customHeight="1">
      <c r="B18" s="16"/>
      <c r="C18" s="16"/>
    </row>
    <row r="19" spans="2:3" ht="16.5" customHeight="1">
      <c r="B19" s="16"/>
      <c r="C19" s="16"/>
    </row>
    <row r="20" spans="2:3" ht="16.5" customHeight="1">
      <c r="B20" s="16"/>
      <c r="C20" s="16"/>
    </row>
    <row r="21" spans="2:3" ht="16.5" customHeight="1">
      <c r="B21" s="16"/>
      <c r="C21" s="16"/>
    </row>
    <row r="22" spans="2:3" ht="16.5" customHeight="1">
      <c r="B22" s="16"/>
      <c r="C22" s="16"/>
    </row>
    <row r="23" spans="2:3" ht="16.5" customHeight="1">
      <c r="B23" s="16"/>
      <c r="C23" s="16"/>
    </row>
    <row r="24" spans="2:3" ht="16.5" customHeight="1">
      <c r="B24" s="16"/>
      <c r="C24" s="16"/>
    </row>
    <row r="25" spans="2:3" ht="16.5" customHeight="1">
      <c r="B25" s="16"/>
      <c r="C25" s="16"/>
    </row>
    <row r="26" spans="2:3" ht="16.5" customHeight="1">
      <c r="B26" s="16"/>
      <c r="C26" s="16"/>
    </row>
    <row r="27" spans="2:3" ht="16.5" customHeight="1">
      <c r="B27" s="16"/>
      <c r="C27" s="16"/>
    </row>
    <row r="28" spans="2:3" ht="16.5" customHeight="1">
      <c r="B28" s="16"/>
      <c r="C28" s="16"/>
    </row>
    <row r="29" spans="2:3" ht="16.5" customHeight="1">
      <c r="B29" s="16"/>
      <c r="C29" s="16"/>
    </row>
    <row r="30" spans="2:3" ht="16.5" customHeight="1">
      <c r="B30" s="16"/>
      <c r="C30" s="16"/>
    </row>
    <row r="31" spans="2:3" ht="16.5" customHeight="1">
      <c r="B31" s="16"/>
      <c r="C31" s="16"/>
    </row>
    <row r="32" spans="2:3" ht="16.5" customHeight="1">
      <c r="B32" s="16"/>
      <c r="C32" s="16"/>
    </row>
    <row r="33" spans="2:3" ht="16.5" customHeight="1">
      <c r="B33" s="16"/>
      <c r="C33" s="16"/>
    </row>
    <row r="34" spans="2:3" ht="16.5" customHeight="1">
      <c r="B34" s="16"/>
      <c r="C34" s="16"/>
    </row>
    <row r="35" spans="2:3" ht="16.5" customHeight="1">
      <c r="B35" s="16"/>
      <c r="C35" s="16"/>
    </row>
    <row r="36" spans="2:3" ht="16.5" customHeight="1">
      <c r="B36" s="16"/>
      <c r="C36" s="16"/>
    </row>
    <row r="37" spans="2:3" ht="16.5" customHeight="1">
      <c r="B37" s="16"/>
      <c r="C37" s="16"/>
    </row>
    <row r="38" spans="2:3" ht="16.5" customHeight="1">
      <c r="B38" s="16"/>
      <c r="C38" s="16"/>
    </row>
    <row r="39" spans="2:3" ht="16.5" customHeight="1">
      <c r="B39" s="16"/>
      <c r="C39" s="16"/>
    </row>
    <row r="40" spans="2:3" ht="16.5" customHeight="1">
      <c r="B40" s="16"/>
      <c r="C40" s="16"/>
    </row>
    <row r="41" spans="2:3" ht="16.5" customHeight="1">
      <c r="B41" s="16"/>
      <c r="C41" s="16"/>
    </row>
    <row r="42" spans="2:3" ht="16.5" customHeight="1">
      <c r="B42" s="16"/>
      <c r="C42" s="16"/>
    </row>
    <row r="43" spans="2:3" ht="16.5" customHeight="1">
      <c r="B43" s="16"/>
      <c r="C43" s="16"/>
    </row>
    <row r="44" spans="2:3" ht="16.5" customHeight="1">
      <c r="B44" s="16"/>
      <c r="C44" s="16"/>
    </row>
    <row r="45" spans="2:3" ht="16.5" customHeight="1">
      <c r="B45" s="16"/>
      <c r="C45" s="16"/>
    </row>
    <row r="46" spans="2:3" ht="16.5" customHeight="1">
      <c r="B46" s="16"/>
      <c r="C46" s="16"/>
    </row>
    <row r="47" spans="2:3" ht="16.5" customHeight="1">
      <c r="B47" s="16"/>
      <c r="C47" s="16"/>
    </row>
    <row r="48" spans="2:3" ht="16.5" customHeight="1">
      <c r="B48" s="16"/>
      <c r="C48" s="16"/>
    </row>
    <row r="49" spans="2:3" ht="16.5" customHeight="1">
      <c r="B49" s="16"/>
      <c r="C49" s="16"/>
    </row>
    <row r="50" spans="2:3" ht="16.5" customHeight="1">
      <c r="B50" s="16"/>
      <c r="C50" s="16"/>
    </row>
    <row r="51" spans="2:3" ht="16.5" customHeight="1">
      <c r="B51" s="16"/>
      <c r="C51" s="16"/>
    </row>
    <row r="52" spans="2:3" ht="16.5" customHeight="1">
      <c r="B52" s="16"/>
      <c r="C52" s="16"/>
    </row>
    <row r="53" spans="2:3" ht="16.5" customHeight="1">
      <c r="B53" s="16"/>
      <c r="C53" s="16"/>
    </row>
    <row r="54" spans="2:3" ht="16.5" customHeight="1">
      <c r="B54" s="16"/>
      <c r="C54" s="16"/>
    </row>
    <row r="55" spans="2:3" ht="16.5" customHeight="1">
      <c r="B55" s="16"/>
      <c r="C55" s="16"/>
    </row>
    <row r="56" spans="2:3" ht="16.5" customHeight="1">
      <c r="B56" s="16"/>
      <c r="C56" s="16"/>
    </row>
    <row r="57" spans="2:3" ht="16.5" customHeight="1">
      <c r="B57" s="16"/>
      <c r="C57" s="16"/>
    </row>
    <row r="58" spans="2:3" ht="16.5" customHeight="1">
      <c r="B58" s="16"/>
      <c r="C58" s="16"/>
    </row>
    <row r="59" spans="2:3" ht="16.5" customHeight="1">
      <c r="B59" s="16"/>
      <c r="C59" s="16"/>
    </row>
    <row r="60" spans="2:3" ht="16.5" hidden="1" customHeight="1">
      <c r="B60" s="16"/>
      <c r="C60" s="16"/>
    </row>
    <row r="61" spans="2:3" ht="16.5" hidden="1" customHeight="1">
      <c r="B61" s="16"/>
      <c r="C61" s="16"/>
    </row>
    <row r="62" spans="2:3" ht="16.5" hidden="1" customHeight="1">
      <c r="B62" s="16"/>
      <c r="C62" s="16"/>
    </row>
    <row r="63" spans="2:3" ht="16.5" hidden="1" customHeight="1">
      <c r="B63" s="16"/>
      <c r="C63" s="16"/>
    </row>
    <row r="64" spans="2:3" ht="16.5" hidden="1" customHeight="1">
      <c r="B64" s="16"/>
      <c r="C64" s="16"/>
    </row>
    <row r="65" spans="2:3" ht="16.5" hidden="1" customHeight="1">
      <c r="B65" s="16"/>
      <c r="C65" s="16"/>
    </row>
    <row r="66" spans="2:3" ht="16.5" hidden="1" customHeight="1">
      <c r="B66" s="16"/>
      <c r="C66" s="16"/>
    </row>
    <row r="67" spans="2:3" ht="16.5" hidden="1" customHeight="1">
      <c r="B67" s="16"/>
      <c r="C67" s="16"/>
    </row>
    <row r="68" spans="2:3" ht="16.5" hidden="1" customHeight="1">
      <c r="B68" s="16"/>
      <c r="C68" s="16"/>
    </row>
    <row r="69" spans="2:3" ht="16.5" hidden="1" customHeight="1">
      <c r="B69" s="16"/>
      <c r="C69" s="16"/>
    </row>
    <row r="70" spans="2:3" ht="16.5" hidden="1" customHeight="1">
      <c r="B70" s="16"/>
      <c r="C70" s="16"/>
    </row>
    <row r="71" spans="2:3" ht="16.5" hidden="1" customHeight="1">
      <c r="B71" s="16"/>
      <c r="C71" s="16"/>
    </row>
    <row r="72" spans="2:3" ht="16.5" hidden="1" customHeight="1">
      <c r="B72" s="16"/>
      <c r="C72" s="16"/>
    </row>
    <row r="73" spans="2:3" ht="16.5" hidden="1" customHeight="1">
      <c r="B73" s="16"/>
      <c r="C73" s="16"/>
    </row>
    <row r="74" spans="2:3" ht="16.5" hidden="1" customHeight="1">
      <c r="B74" s="16"/>
      <c r="C74" s="16"/>
    </row>
    <row r="75" spans="2:3" ht="16.5" hidden="1" customHeight="1">
      <c r="B75" s="16"/>
      <c r="C75" s="16"/>
    </row>
    <row r="76" spans="2:3" ht="16.5" hidden="1" customHeight="1">
      <c r="B76" s="16"/>
      <c r="C76" s="16"/>
    </row>
    <row r="77" spans="2:3" ht="16.5" hidden="1" customHeight="1">
      <c r="B77" s="16"/>
      <c r="C77" s="16"/>
    </row>
    <row r="78" spans="2:3" ht="16.5" hidden="1" customHeight="1">
      <c r="B78" s="16"/>
      <c r="C78" s="16"/>
    </row>
    <row r="79" spans="2:3" ht="16.5" hidden="1" customHeight="1">
      <c r="B79" s="16"/>
      <c r="C79" s="16"/>
    </row>
    <row r="80" spans="2:3" ht="16.5" hidden="1" customHeight="1">
      <c r="B80" s="16"/>
      <c r="C80" s="16"/>
    </row>
    <row r="81" spans="2:3" ht="16.5" hidden="1" customHeight="1">
      <c r="B81" s="16"/>
      <c r="C81" s="16"/>
    </row>
    <row r="82" spans="2:3" ht="16.5" hidden="1" customHeight="1">
      <c r="B82" s="16"/>
      <c r="C82" s="16"/>
    </row>
    <row r="83" spans="2:3" ht="16.5" hidden="1" customHeight="1">
      <c r="B83" s="16"/>
      <c r="C83" s="16"/>
    </row>
    <row r="84" spans="2:3" ht="16.5" hidden="1" customHeight="1">
      <c r="B84" s="16"/>
      <c r="C84" s="16"/>
    </row>
    <row r="85" spans="2:3" ht="16.5" hidden="1" customHeight="1">
      <c r="B85" s="16"/>
      <c r="C85" s="16"/>
    </row>
    <row r="86" spans="2:3" ht="16.5" hidden="1" customHeight="1">
      <c r="B86" s="16"/>
      <c r="C86" s="16"/>
    </row>
    <row r="87" spans="2:3" ht="16.5" hidden="1" customHeight="1">
      <c r="B87" s="16"/>
      <c r="C87" s="16"/>
    </row>
    <row r="88" spans="2:3" ht="16.5" hidden="1" customHeight="1">
      <c r="B88" s="16"/>
      <c r="C88" s="16"/>
    </row>
    <row r="89" spans="2:3" ht="16.5" hidden="1" customHeight="1">
      <c r="B89" s="16"/>
      <c r="C89" s="16"/>
    </row>
    <row r="90" spans="2:3" ht="16.5" hidden="1" customHeight="1">
      <c r="B90" s="16"/>
      <c r="C90" s="16"/>
    </row>
    <row r="91" spans="2:3" ht="16.5" hidden="1" customHeight="1">
      <c r="B91" s="16"/>
      <c r="C91" s="16"/>
    </row>
    <row r="92" spans="2:3" ht="16.5" hidden="1" customHeight="1">
      <c r="B92" s="16"/>
      <c r="C92" s="16"/>
    </row>
    <row r="93" spans="2:3" ht="16.5" hidden="1" customHeight="1">
      <c r="B93" s="16"/>
      <c r="C93" s="16"/>
    </row>
    <row r="94" spans="2:3" ht="16.5" hidden="1" customHeight="1">
      <c r="B94" s="16"/>
      <c r="C94" s="16"/>
    </row>
    <row r="95" spans="2:3" ht="16.5" hidden="1" customHeight="1">
      <c r="B95" s="16"/>
      <c r="C95" s="16"/>
    </row>
    <row r="96" spans="2:3" ht="16.5" hidden="1" customHeight="1">
      <c r="B96" s="16"/>
      <c r="C96" s="16"/>
    </row>
    <row r="97" spans="2:3" ht="16.5" hidden="1" customHeight="1">
      <c r="B97" s="16"/>
      <c r="C97" s="16"/>
    </row>
    <row r="98" spans="2:3" ht="16.5" hidden="1" customHeight="1">
      <c r="B98" s="16"/>
      <c r="C98" s="16"/>
    </row>
    <row r="99" spans="2:3" ht="16.5" hidden="1" customHeight="1">
      <c r="B99" s="16"/>
      <c r="C99" s="16"/>
    </row>
    <row r="100" spans="2:3" ht="16.5" hidden="1" customHeight="1">
      <c r="B100" s="16"/>
      <c r="C100" s="16"/>
    </row>
    <row r="101" spans="2:3" ht="16.5" hidden="1" customHeight="1">
      <c r="B101" s="16"/>
      <c r="C101" s="16"/>
    </row>
    <row r="102" spans="2:3" ht="16.5" hidden="1" customHeight="1">
      <c r="B102" s="16"/>
      <c r="C102" s="16"/>
    </row>
    <row r="103" spans="2:3" ht="16.5" hidden="1" customHeight="1">
      <c r="B103" s="16"/>
      <c r="C103" s="16"/>
    </row>
    <row r="104" spans="2:3" ht="16.5" hidden="1" customHeight="1">
      <c r="B104" s="16"/>
      <c r="C104" s="16"/>
    </row>
    <row r="105" spans="2:3" ht="16.5" hidden="1" customHeight="1">
      <c r="B105" s="16"/>
      <c r="C105" s="16"/>
    </row>
    <row r="106" spans="2:3" ht="16.5" hidden="1" customHeight="1">
      <c r="B106" s="16"/>
      <c r="C106" s="16"/>
    </row>
    <row r="107" spans="2:3" ht="16.5" hidden="1" customHeight="1">
      <c r="B107" s="16"/>
      <c r="C107" s="16"/>
    </row>
    <row r="108" spans="2:3" ht="16.5" hidden="1" customHeight="1">
      <c r="B108" s="16"/>
      <c r="C108" s="16"/>
    </row>
    <row r="109" spans="2:3" ht="16.5" hidden="1" customHeight="1">
      <c r="B109" s="16"/>
      <c r="C109" s="16"/>
    </row>
    <row r="110" spans="2:3" ht="16.5" hidden="1" customHeight="1">
      <c r="B110" s="16"/>
      <c r="C110" s="16"/>
    </row>
    <row r="111" spans="2:3" ht="16.5" hidden="1" customHeight="1">
      <c r="B111" s="16"/>
      <c r="C111" s="16"/>
    </row>
    <row r="112" spans="2:3" ht="16.5" hidden="1" customHeight="1">
      <c r="B112" s="16"/>
      <c r="C112" s="16"/>
    </row>
    <row r="113" spans="2:3" ht="16.5" hidden="1" customHeight="1">
      <c r="B113" s="16"/>
      <c r="C113" s="16"/>
    </row>
    <row r="114" spans="2:3" ht="16.5" hidden="1" customHeight="1">
      <c r="B114" s="16"/>
      <c r="C114" s="16"/>
    </row>
    <row r="115" spans="2:3" ht="16.5" hidden="1" customHeight="1">
      <c r="B115" s="16"/>
      <c r="C115" s="16"/>
    </row>
    <row r="116" spans="2:3" ht="16.5" hidden="1" customHeight="1">
      <c r="B116" s="16"/>
      <c r="C116" s="16"/>
    </row>
    <row r="117" spans="2:3" ht="16.5" hidden="1" customHeight="1">
      <c r="B117" s="16"/>
      <c r="C117" s="16"/>
    </row>
    <row r="118" spans="2:3" ht="16.5" hidden="1" customHeight="1">
      <c r="B118" s="16"/>
      <c r="C118" s="16"/>
    </row>
    <row r="119" spans="2:3" ht="16.5" hidden="1" customHeight="1">
      <c r="B119" s="16"/>
      <c r="C119" s="16"/>
    </row>
    <row r="120" spans="2:3" ht="16.5" hidden="1" customHeight="1">
      <c r="B120" s="16"/>
      <c r="C120" s="16"/>
    </row>
    <row r="121" spans="2:3" ht="16.5" hidden="1" customHeight="1">
      <c r="B121" s="16"/>
      <c r="C121" s="16"/>
    </row>
    <row r="122" spans="2:3" ht="16.5" hidden="1" customHeight="1">
      <c r="B122" s="16"/>
      <c r="C122" s="16"/>
    </row>
    <row r="123" spans="2:3" ht="16.5" hidden="1" customHeight="1">
      <c r="B123" s="16"/>
      <c r="C123" s="16"/>
    </row>
    <row r="124" spans="2:3" ht="16.5" hidden="1" customHeight="1">
      <c r="B124" s="16"/>
      <c r="C124" s="16"/>
    </row>
    <row r="125" spans="2:3" ht="16.5" hidden="1" customHeight="1">
      <c r="B125" s="16"/>
      <c r="C125" s="16"/>
    </row>
    <row r="126" spans="2:3" ht="16.5" hidden="1" customHeight="1">
      <c r="B126" s="16"/>
      <c r="C126" s="16"/>
    </row>
    <row r="127" spans="2:3" ht="16.5" hidden="1" customHeight="1">
      <c r="B127" s="16"/>
      <c r="C127" s="16"/>
    </row>
    <row r="128" spans="2:3" ht="16.5" hidden="1" customHeight="1">
      <c r="B128" s="16"/>
      <c r="C128" s="16"/>
    </row>
    <row r="129" spans="2:3" ht="16.5" hidden="1" customHeight="1">
      <c r="B129" s="16"/>
      <c r="C129" s="16"/>
    </row>
    <row r="130" spans="2:3" ht="16.5" hidden="1" customHeight="1">
      <c r="B130" s="16"/>
      <c r="C130" s="16"/>
    </row>
    <row r="131" spans="2:3" ht="16.5" hidden="1" customHeight="1">
      <c r="B131" s="16"/>
      <c r="C131" s="16"/>
    </row>
    <row r="132" spans="2:3" ht="16.5" hidden="1" customHeight="1">
      <c r="B132" s="16"/>
      <c r="C132" s="16"/>
    </row>
    <row r="133" spans="2:3" ht="16.5" hidden="1" customHeight="1">
      <c r="B133" s="16"/>
      <c r="C133" s="16"/>
    </row>
    <row r="134" spans="2:3" ht="16.5" hidden="1" customHeight="1">
      <c r="B134" s="16"/>
      <c r="C134" s="16"/>
    </row>
    <row r="135" spans="2:3" ht="16.5" hidden="1" customHeight="1">
      <c r="B135" s="16"/>
      <c r="C135" s="16"/>
    </row>
    <row r="136" spans="2:3" ht="16.5" hidden="1" customHeight="1">
      <c r="B136" s="16"/>
      <c r="C136" s="16"/>
    </row>
    <row r="137" spans="2:3" ht="16.5" hidden="1" customHeight="1">
      <c r="B137" s="16"/>
      <c r="C137" s="16"/>
    </row>
    <row r="138" spans="2:3" ht="16.5" hidden="1" customHeight="1">
      <c r="B138" s="16"/>
      <c r="C138" s="16"/>
    </row>
    <row r="139" spans="2:3" ht="16.5" hidden="1" customHeight="1">
      <c r="B139" s="16"/>
      <c r="C139" s="16"/>
    </row>
    <row r="140" spans="2:3" ht="16.5" hidden="1" customHeight="1">
      <c r="B140" s="16"/>
      <c r="C140" s="16"/>
    </row>
    <row r="141" spans="2:3" ht="16.5" hidden="1" customHeight="1">
      <c r="B141" s="16"/>
      <c r="C141" s="16"/>
    </row>
    <row r="142" spans="2:3" ht="16.5" hidden="1" customHeight="1">
      <c r="B142" s="16"/>
      <c r="C142" s="16"/>
    </row>
    <row r="143" spans="2:3" ht="16.5" hidden="1" customHeight="1">
      <c r="B143" s="16"/>
      <c r="C143" s="16"/>
    </row>
    <row r="144" spans="2:3" ht="16.5" hidden="1" customHeight="1">
      <c r="B144" s="16"/>
      <c r="C144" s="16"/>
    </row>
    <row r="145" spans="2:3" ht="16.5" hidden="1" customHeight="1">
      <c r="B145" s="16"/>
      <c r="C145" s="16"/>
    </row>
    <row r="146" spans="2:3" ht="16.5" hidden="1" customHeight="1">
      <c r="B146" s="16"/>
      <c r="C146" s="16"/>
    </row>
    <row r="147" spans="2:3" ht="16.5" hidden="1" customHeight="1">
      <c r="B147" s="16"/>
      <c r="C147" s="16"/>
    </row>
    <row r="148" spans="2:3" ht="16.5" hidden="1" customHeight="1">
      <c r="B148" s="16"/>
      <c r="C148" s="16"/>
    </row>
    <row r="149" spans="2:3" ht="16.5" hidden="1" customHeight="1">
      <c r="B149" s="16"/>
      <c r="C149" s="16"/>
    </row>
    <row r="150" spans="2:3" ht="16.5" hidden="1" customHeight="1">
      <c r="B150" s="16"/>
      <c r="C150" s="16"/>
    </row>
    <row r="151" spans="2:3" ht="16.5" hidden="1" customHeight="1">
      <c r="B151" s="16"/>
      <c r="C151" s="16"/>
    </row>
    <row r="152" spans="2:3" ht="16.5" hidden="1" customHeight="1">
      <c r="B152" s="16"/>
      <c r="C152" s="16"/>
    </row>
    <row r="153" spans="2:3" ht="16.5" hidden="1" customHeight="1">
      <c r="B153" s="16"/>
      <c r="C153" s="16"/>
    </row>
    <row r="154" spans="2:3" ht="16.5" hidden="1" customHeight="1">
      <c r="B154" s="16"/>
      <c r="C154" s="16"/>
    </row>
    <row r="155" spans="2:3" ht="16.5" hidden="1" customHeight="1">
      <c r="B155" s="16"/>
      <c r="C155" s="16"/>
    </row>
    <row r="156" spans="2:3" ht="16.5" hidden="1" customHeight="1">
      <c r="B156" s="16"/>
      <c r="C156" s="16"/>
    </row>
    <row r="157" spans="2:3" ht="16.5" hidden="1" customHeight="1">
      <c r="B157" s="16"/>
      <c r="C157" s="16"/>
    </row>
    <row r="158" spans="2:3" ht="16.5" hidden="1" customHeight="1">
      <c r="B158" s="16"/>
      <c r="C158" s="16"/>
    </row>
    <row r="159" spans="2:3" ht="16.5" hidden="1" customHeight="1">
      <c r="B159" s="16"/>
      <c r="C159" s="16"/>
    </row>
    <row r="160" spans="2:3" ht="16.5" hidden="1" customHeight="1">
      <c r="B160" s="16"/>
      <c r="C160" s="16"/>
    </row>
    <row r="161" spans="2:3" ht="16.5" hidden="1" customHeight="1">
      <c r="B161" s="16"/>
      <c r="C161" s="16"/>
    </row>
    <row r="162" spans="2:3" ht="16.5" hidden="1" customHeight="1">
      <c r="B162" s="16"/>
      <c r="C162" s="16"/>
    </row>
    <row r="163" spans="2:3" ht="16.5" hidden="1" customHeight="1">
      <c r="B163" s="16"/>
      <c r="C163" s="16"/>
    </row>
    <row r="164" spans="2:3" ht="16.5" hidden="1" customHeight="1">
      <c r="B164" s="16"/>
      <c r="C164" s="16"/>
    </row>
    <row r="165" spans="2:3" ht="16.5" hidden="1" customHeight="1">
      <c r="B165" s="16"/>
      <c r="C165" s="16"/>
    </row>
    <row r="166" spans="2:3" ht="16.5" hidden="1" customHeight="1">
      <c r="B166" s="16"/>
      <c r="C166" s="16"/>
    </row>
    <row r="167" spans="2:3" ht="16.5" hidden="1" customHeight="1">
      <c r="B167" s="16"/>
      <c r="C167" s="16"/>
    </row>
    <row r="168" spans="2:3" ht="16.5" hidden="1" customHeight="1">
      <c r="B168" s="16"/>
      <c r="C168" s="16"/>
    </row>
    <row r="169" spans="2:3" ht="16.5" hidden="1" customHeight="1">
      <c r="B169" s="16"/>
      <c r="C169" s="16"/>
    </row>
    <row r="170" spans="2:3" ht="16.5" hidden="1" customHeight="1">
      <c r="B170" s="16"/>
      <c r="C170" s="16"/>
    </row>
    <row r="171" spans="2:3" ht="16.5" hidden="1" customHeight="1">
      <c r="B171" s="16"/>
      <c r="C171" s="16"/>
    </row>
    <row r="172" spans="2:3" ht="16.5" hidden="1" customHeight="1">
      <c r="B172" s="16"/>
      <c r="C172" s="16"/>
    </row>
    <row r="173" spans="2:3" ht="16.5" hidden="1" customHeight="1">
      <c r="B173" s="16"/>
      <c r="C173" s="16"/>
    </row>
    <row r="174" spans="2:3" ht="16.5" hidden="1" customHeight="1">
      <c r="B174" s="16"/>
      <c r="C174" s="16"/>
    </row>
    <row r="175" spans="2:3" ht="16.5" hidden="1" customHeight="1">
      <c r="B175" s="16"/>
      <c r="C175" s="16"/>
    </row>
    <row r="176" spans="2:3" ht="16.5" hidden="1" customHeight="1">
      <c r="B176" s="16"/>
      <c r="C176" s="16"/>
    </row>
    <row r="177" spans="2:3" ht="16.5" hidden="1" customHeight="1">
      <c r="B177" s="16"/>
      <c r="C177" s="16"/>
    </row>
    <row r="178" spans="2:3" ht="16.5" hidden="1" customHeight="1">
      <c r="B178" s="16"/>
      <c r="C178" s="16"/>
    </row>
    <row r="179" spans="2:3" ht="16.5" hidden="1" customHeight="1">
      <c r="B179" s="16"/>
      <c r="C179" s="16"/>
    </row>
    <row r="180" spans="2:3" ht="16.5" hidden="1" customHeight="1">
      <c r="B180" s="16"/>
      <c r="C180" s="16"/>
    </row>
    <row r="181" spans="2:3" ht="16.5" hidden="1" customHeight="1">
      <c r="B181" s="16"/>
      <c r="C181" s="16"/>
    </row>
    <row r="182" spans="2:3" ht="16.5" hidden="1" customHeight="1">
      <c r="B182" s="16"/>
      <c r="C182" s="16"/>
    </row>
    <row r="183" spans="2:3" ht="16.5" hidden="1" customHeight="1">
      <c r="B183" s="16"/>
      <c r="C183" s="16"/>
    </row>
    <row r="184" spans="2:3" ht="16.5" hidden="1" customHeight="1">
      <c r="B184" s="16"/>
      <c r="C184" s="16"/>
    </row>
    <row r="185" spans="2:3" ht="16.5" hidden="1" customHeight="1">
      <c r="B185" s="16"/>
      <c r="C185" s="16"/>
    </row>
    <row r="186" spans="2:3" ht="16.5" hidden="1" customHeight="1">
      <c r="B186" s="16"/>
      <c r="C186" s="16"/>
    </row>
    <row r="187" spans="2:3" ht="16.5" hidden="1" customHeight="1">
      <c r="B187" s="16"/>
      <c r="C187" s="16"/>
    </row>
    <row r="188" spans="2:3" ht="16.5" hidden="1" customHeight="1">
      <c r="B188" s="16"/>
      <c r="C188" s="16"/>
    </row>
    <row r="189" spans="2:3" ht="16.5" hidden="1" customHeight="1">
      <c r="B189" s="16"/>
      <c r="C189" s="16"/>
    </row>
    <row r="190" spans="2:3" ht="16.5" hidden="1" customHeight="1">
      <c r="B190" s="16"/>
      <c r="C190" s="16"/>
    </row>
    <row r="191" spans="2:3" ht="16.5" hidden="1" customHeight="1">
      <c r="B191" s="16"/>
      <c r="C191" s="16"/>
    </row>
    <row r="192" spans="2:3" ht="16.5" hidden="1" customHeight="1">
      <c r="B192" s="16"/>
      <c r="C192" s="16"/>
    </row>
    <row r="193" spans="2:3" ht="16.5" hidden="1" customHeight="1">
      <c r="B193" s="16"/>
      <c r="C193" s="16"/>
    </row>
    <row r="194" spans="2:3" ht="16.5" hidden="1" customHeight="1">
      <c r="B194" s="16"/>
      <c r="C194" s="16"/>
    </row>
    <row r="195" spans="2:3" ht="16.5" hidden="1" customHeight="1">
      <c r="B195" s="16"/>
      <c r="C195" s="16"/>
    </row>
    <row r="196" spans="2:3" ht="16.5" hidden="1" customHeight="1">
      <c r="B196" s="16"/>
      <c r="C196" s="16"/>
    </row>
    <row r="197" spans="2:3" ht="16.5" hidden="1" customHeight="1">
      <c r="B197" s="16"/>
      <c r="C197" s="16"/>
    </row>
    <row r="198" spans="2:3" ht="16.5" hidden="1" customHeight="1">
      <c r="B198" s="16"/>
      <c r="C198" s="16"/>
    </row>
    <row r="199" spans="2:3" ht="16.5" hidden="1" customHeight="1">
      <c r="B199" s="16"/>
      <c r="C199" s="16"/>
    </row>
    <row r="200" spans="2:3" ht="16.5" hidden="1" customHeight="1">
      <c r="B200" s="16"/>
      <c r="C200" s="16"/>
    </row>
    <row r="201" spans="2:3" ht="16.5" hidden="1" customHeight="1">
      <c r="B201" s="16"/>
      <c r="C201" s="16"/>
    </row>
    <row r="202" spans="2:3" ht="16.5" hidden="1" customHeight="1">
      <c r="B202" s="16"/>
      <c r="C202" s="16"/>
    </row>
    <row r="203" spans="2:3" ht="16.5" hidden="1" customHeight="1">
      <c r="B203" s="16"/>
      <c r="C203" s="16"/>
    </row>
    <row r="204" spans="2:3" ht="16.5" hidden="1" customHeight="1">
      <c r="B204" s="16"/>
      <c r="C204" s="16"/>
    </row>
    <row r="205" spans="2:3" ht="16.5" hidden="1" customHeight="1">
      <c r="B205" s="16"/>
      <c r="C205" s="16"/>
    </row>
    <row r="206" spans="2:3" ht="16.5" hidden="1" customHeight="1">
      <c r="B206" s="16"/>
      <c r="C206" s="16"/>
    </row>
    <row r="207" spans="2:3" ht="16.5" hidden="1" customHeight="1">
      <c r="B207" s="16"/>
      <c r="C207" s="16"/>
    </row>
    <row r="208" spans="2:3" ht="16.5" hidden="1" customHeight="1">
      <c r="B208" s="16"/>
      <c r="C208" s="16"/>
    </row>
    <row r="209" spans="2:3" ht="16.5" hidden="1" customHeight="1">
      <c r="B209" s="16"/>
      <c r="C209" s="16"/>
    </row>
    <row r="210" spans="2:3" ht="16.5" hidden="1" customHeight="1">
      <c r="B210" s="16"/>
      <c r="C210" s="16"/>
    </row>
    <row r="211" spans="2:3" ht="16.5" hidden="1" customHeight="1">
      <c r="B211" s="16"/>
      <c r="C211" s="16"/>
    </row>
    <row r="212" spans="2:3" ht="16.5" hidden="1" customHeight="1">
      <c r="B212" s="16"/>
      <c r="C212" s="16"/>
    </row>
    <row r="213" spans="2:3" ht="16.5" hidden="1" customHeight="1">
      <c r="B213" s="16"/>
      <c r="C213" s="16"/>
    </row>
    <row r="214" spans="2:3" ht="16.5" hidden="1" customHeight="1">
      <c r="B214" s="16"/>
      <c r="C214" s="16"/>
    </row>
    <row r="215" spans="2:3" ht="16.5" hidden="1" customHeight="1">
      <c r="B215" s="16"/>
      <c r="C215" s="16"/>
    </row>
    <row r="216" spans="2:3" ht="16.5" hidden="1" customHeight="1">
      <c r="B216" s="16"/>
      <c r="C216" s="16"/>
    </row>
    <row r="217" spans="2:3" ht="16.5" hidden="1" customHeight="1">
      <c r="B217" s="16"/>
      <c r="C217" s="16"/>
    </row>
    <row r="218" spans="2:3" ht="16.5" hidden="1" customHeight="1">
      <c r="B218" s="16"/>
      <c r="C218" s="16"/>
    </row>
    <row r="219" spans="2:3" ht="16.5" hidden="1" customHeight="1">
      <c r="B219" s="16"/>
      <c r="C219" s="16"/>
    </row>
    <row r="220" spans="2:3" ht="16.5" hidden="1" customHeight="1">
      <c r="B220" s="16"/>
      <c r="C220" s="16"/>
    </row>
    <row r="221" spans="2:3" ht="16.5" hidden="1" customHeight="1">
      <c r="B221" s="16"/>
      <c r="C221" s="16"/>
    </row>
    <row r="222" spans="2:3" ht="16.5" hidden="1" customHeight="1">
      <c r="B222" s="16"/>
      <c r="C222" s="16"/>
    </row>
    <row r="223" spans="2:3" ht="16.5" hidden="1" customHeight="1">
      <c r="B223" s="16"/>
      <c r="C223" s="16"/>
    </row>
    <row r="224" spans="2:3" ht="16.5" hidden="1" customHeight="1">
      <c r="B224" s="16"/>
      <c r="C224" s="16"/>
    </row>
    <row r="225" spans="2:3" ht="16.5" hidden="1" customHeight="1">
      <c r="B225" s="16"/>
      <c r="C225" s="16"/>
    </row>
    <row r="226" spans="2:3" ht="16.5" hidden="1" customHeight="1">
      <c r="B226" s="16"/>
      <c r="C226" s="16"/>
    </row>
    <row r="227" spans="2:3" ht="16.5" hidden="1" customHeight="1">
      <c r="B227" s="16"/>
      <c r="C227" s="16"/>
    </row>
    <row r="228" spans="2:3" ht="16.5" hidden="1" customHeight="1">
      <c r="B228" s="16"/>
      <c r="C228" s="16"/>
    </row>
    <row r="229" spans="2:3" ht="16.5" hidden="1" customHeight="1">
      <c r="B229" s="16"/>
      <c r="C229" s="16"/>
    </row>
    <row r="230" spans="2:3" ht="16.5" hidden="1" customHeight="1">
      <c r="B230" s="16"/>
      <c r="C230" s="16"/>
    </row>
    <row r="231" spans="2:3" ht="16.5" hidden="1" customHeight="1">
      <c r="B231" s="16"/>
      <c r="C231" s="16"/>
    </row>
    <row r="232" spans="2:3" ht="16.5" hidden="1" customHeight="1">
      <c r="B232" s="16"/>
      <c r="C232" s="16"/>
    </row>
    <row r="233" spans="2:3" ht="16.5" hidden="1" customHeight="1">
      <c r="B233" s="16"/>
      <c r="C233" s="16"/>
    </row>
    <row r="234" spans="2:3" ht="16.5" hidden="1" customHeight="1">
      <c r="B234" s="16"/>
      <c r="C234" s="16"/>
    </row>
    <row r="235" spans="2:3" ht="16.5" hidden="1" customHeight="1">
      <c r="B235" s="16"/>
      <c r="C235" s="16"/>
    </row>
    <row r="236" spans="2:3" ht="16.5" hidden="1" customHeight="1">
      <c r="B236" s="16"/>
      <c r="C236" s="16"/>
    </row>
    <row r="237" spans="2:3" ht="16.5" hidden="1" customHeight="1">
      <c r="B237" s="16"/>
      <c r="C237" s="16"/>
    </row>
    <row r="238" spans="2:3" ht="16.5" hidden="1" customHeight="1">
      <c r="B238" s="16"/>
      <c r="C238" s="16"/>
    </row>
    <row r="239" spans="2:3" ht="16.5" hidden="1" customHeight="1">
      <c r="B239" s="16"/>
      <c r="C239" s="16"/>
    </row>
    <row r="240" spans="2:3" ht="16.5" hidden="1" customHeight="1">
      <c r="B240" s="16"/>
      <c r="C240" s="16"/>
    </row>
    <row r="241" spans="2:3" ht="16.5" hidden="1" customHeight="1">
      <c r="B241" s="16"/>
      <c r="C241" s="16"/>
    </row>
    <row r="242" spans="2:3" ht="16.5" hidden="1" customHeight="1">
      <c r="B242" s="16"/>
      <c r="C242" s="16"/>
    </row>
    <row r="243" spans="2:3" ht="16.5" hidden="1" customHeight="1">
      <c r="B243" s="16"/>
      <c r="C243" s="16"/>
    </row>
    <row r="244" spans="2:3" ht="16.5" hidden="1" customHeight="1">
      <c r="B244" s="16"/>
      <c r="C244" s="16"/>
    </row>
    <row r="245" spans="2:3" ht="16.5" hidden="1" customHeight="1">
      <c r="B245" s="16"/>
      <c r="C245" s="16"/>
    </row>
    <row r="246" spans="2:3" ht="16.5" hidden="1" customHeight="1">
      <c r="B246" s="16"/>
      <c r="C246" s="16"/>
    </row>
    <row r="247" spans="2:3" ht="16.5" hidden="1" customHeight="1">
      <c r="B247" s="16"/>
      <c r="C247" s="16"/>
    </row>
    <row r="248" spans="2:3" ht="16.5" hidden="1" customHeight="1">
      <c r="B248" s="16"/>
      <c r="C248" s="16"/>
    </row>
    <row r="249" spans="2:3" ht="16.5" hidden="1" customHeight="1">
      <c r="B249" s="16"/>
      <c r="C249" s="16"/>
    </row>
    <row r="250" spans="2:3" ht="16.5" hidden="1" customHeight="1">
      <c r="B250" s="16"/>
      <c r="C250" s="16"/>
    </row>
    <row r="251" spans="2:3" ht="16.5" hidden="1" customHeight="1">
      <c r="B251" s="16"/>
      <c r="C251" s="16"/>
    </row>
    <row r="252" spans="2:3" ht="16.5" hidden="1" customHeight="1">
      <c r="B252" s="16"/>
      <c r="C252" s="16"/>
    </row>
    <row r="253" spans="2:3" ht="16.5" hidden="1" customHeight="1">
      <c r="B253" s="16"/>
      <c r="C253" s="16"/>
    </row>
    <row r="254" spans="2:3" ht="16.5" hidden="1" customHeight="1">
      <c r="B254" s="16"/>
      <c r="C254" s="16"/>
    </row>
    <row r="255" spans="2:3" ht="16.5" hidden="1" customHeight="1">
      <c r="B255" s="16"/>
      <c r="C255" s="16"/>
    </row>
    <row r="256" spans="2:3" ht="16.5" hidden="1" customHeight="1">
      <c r="B256" s="16"/>
      <c r="C256" s="16"/>
    </row>
    <row r="257" spans="2:3" ht="16.5" hidden="1" customHeight="1">
      <c r="B257" s="16"/>
      <c r="C257" s="16"/>
    </row>
    <row r="258" spans="2:3" ht="16.5" hidden="1" customHeight="1">
      <c r="B258" s="16"/>
      <c r="C258" s="16"/>
    </row>
    <row r="259" spans="2:3" ht="16.5" hidden="1" customHeight="1">
      <c r="B259" s="16"/>
      <c r="C259" s="16"/>
    </row>
    <row r="260" spans="2:3" ht="16.5" hidden="1" customHeight="1">
      <c r="B260" s="16"/>
      <c r="C260" s="16"/>
    </row>
    <row r="261" spans="2:3" ht="16.5" hidden="1" customHeight="1">
      <c r="B261" s="16"/>
      <c r="C261" s="16"/>
    </row>
    <row r="262" spans="2:3" ht="16.5" hidden="1" customHeight="1">
      <c r="B262" s="16"/>
      <c r="C262" s="16"/>
    </row>
    <row r="263" spans="2:3" ht="16.5" hidden="1" customHeight="1">
      <c r="B263" s="16"/>
      <c r="C263" s="16"/>
    </row>
    <row r="264" spans="2:3" ht="16.5" hidden="1" customHeight="1">
      <c r="B264" s="16"/>
      <c r="C264" s="16"/>
    </row>
    <row r="265" spans="2:3" ht="16.5" hidden="1" customHeight="1">
      <c r="B265" s="16"/>
      <c r="C265" s="16"/>
    </row>
    <row r="266" spans="2:3" ht="16.5" hidden="1" customHeight="1">
      <c r="B266" s="16"/>
      <c r="C266" s="16"/>
    </row>
    <row r="267" spans="2:3" ht="16.5" hidden="1" customHeight="1">
      <c r="B267" s="16"/>
      <c r="C267" s="16"/>
    </row>
    <row r="268" spans="2:3" ht="16.5" hidden="1" customHeight="1">
      <c r="B268" s="16"/>
      <c r="C268" s="16"/>
    </row>
    <row r="269" spans="2:3" ht="16.5" hidden="1" customHeight="1">
      <c r="B269" s="16"/>
      <c r="C269" s="16"/>
    </row>
    <row r="270" spans="2:3" ht="16.5" hidden="1" customHeight="1">
      <c r="B270" s="16"/>
      <c r="C270" s="16"/>
    </row>
    <row r="271" spans="2:3" ht="16.5" hidden="1" customHeight="1">
      <c r="B271" s="16"/>
      <c r="C271" s="16"/>
    </row>
    <row r="272" spans="2:3" ht="16.5" hidden="1" customHeight="1">
      <c r="B272" s="16"/>
      <c r="C272" s="16"/>
    </row>
    <row r="273" spans="2:3" ht="16.5" hidden="1" customHeight="1">
      <c r="B273" s="16"/>
      <c r="C273" s="16"/>
    </row>
    <row r="274" spans="2:3" ht="16.5" hidden="1" customHeight="1">
      <c r="B274" s="16"/>
      <c r="C274" s="16"/>
    </row>
    <row r="275" spans="2:3" ht="16.5" hidden="1" customHeight="1">
      <c r="B275" s="16"/>
      <c r="C275" s="16"/>
    </row>
    <row r="276" spans="2:3" ht="16.5" hidden="1" customHeight="1">
      <c r="B276" s="16"/>
      <c r="C276" s="16"/>
    </row>
    <row r="277" spans="2:3" ht="16.5" hidden="1" customHeight="1">
      <c r="B277" s="16"/>
      <c r="C277" s="16"/>
    </row>
    <row r="278" spans="2:3" ht="16.5" hidden="1" customHeight="1">
      <c r="B278" s="16"/>
      <c r="C278" s="16"/>
    </row>
    <row r="279" spans="2:3" ht="16.5" hidden="1" customHeight="1">
      <c r="B279" s="16"/>
      <c r="C279" s="16"/>
    </row>
    <row r="280" spans="2:3" ht="16.5" hidden="1" customHeight="1">
      <c r="B280" s="16"/>
      <c r="C280" s="16"/>
    </row>
    <row r="281" spans="2:3" ht="16.5" hidden="1" customHeight="1">
      <c r="B281" s="16"/>
      <c r="C281" s="16"/>
    </row>
    <row r="282" spans="2:3" ht="16.5" hidden="1" customHeight="1">
      <c r="B282" s="16"/>
      <c r="C282" s="16"/>
    </row>
    <row r="283" spans="2:3" ht="16.5" hidden="1" customHeight="1">
      <c r="B283" s="16"/>
      <c r="C283" s="16"/>
    </row>
    <row r="284" spans="2:3" ht="16.5" hidden="1" customHeight="1">
      <c r="B284" s="16"/>
      <c r="C284" s="16"/>
    </row>
    <row r="285" spans="2:3" ht="16.5" hidden="1" customHeight="1">
      <c r="B285" s="16"/>
      <c r="C285" s="16"/>
    </row>
    <row r="286" spans="2:3" ht="16.5" hidden="1" customHeight="1">
      <c r="B286" s="16"/>
      <c r="C286" s="16"/>
    </row>
    <row r="287" spans="2:3" ht="16.5" hidden="1" customHeight="1">
      <c r="B287" s="16"/>
      <c r="C287" s="16"/>
    </row>
    <row r="288" spans="2:3" ht="16.5" hidden="1" customHeight="1">
      <c r="B288" s="16"/>
      <c r="C288" s="16"/>
    </row>
    <row r="289" spans="2:3" ht="16.5" hidden="1" customHeight="1">
      <c r="B289" s="16"/>
      <c r="C289" s="16"/>
    </row>
    <row r="290" spans="2:3" ht="16.5" hidden="1" customHeight="1">
      <c r="B290" s="16"/>
      <c r="C290" s="16"/>
    </row>
    <row r="291" spans="2:3" ht="16.5" hidden="1" customHeight="1">
      <c r="B291" s="16"/>
      <c r="C291" s="16"/>
    </row>
    <row r="292" spans="2:3" ht="16.5" hidden="1" customHeight="1">
      <c r="B292" s="16"/>
      <c r="C292" s="16"/>
    </row>
    <row r="293" spans="2:3" ht="16.5" hidden="1" customHeight="1">
      <c r="B293" s="16"/>
      <c r="C293" s="16"/>
    </row>
    <row r="294" spans="2:3" ht="16.5" hidden="1" customHeight="1">
      <c r="B294" s="16"/>
      <c r="C294" s="16"/>
    </row>
    <row r="295" spans="2:3" ht="16.5" hidden="1" customHeight="1">
      <c r="B295" s="16"/>
      <c r="C295" s="16"/>
    </row>
    <row r="296" spans="2:3" ht="16.5" hidden="1" customHeight="1">
      <c r="B296" s="16"/>
      <c r="C296" s="16"/>
    </row>
    <row r="297" spans="2:3" ht="16.5" hidden="1" customHeight="1">
      <c r="B297" s="16"/>
      <c r="C297" s="16"/>
    </row>
    <row r="298" spans="2:3" ht="16.5" hidden="1" customHeight="1">
      <c r="B298" s="16"/>
      <c r="C298" s="16"/>
    </row>
    <row r="299" spans="2:3" ht="16.5" hidden="1" customHeight="1">
      <c r="B299" s="16"/>
      <c r="C299" s="16"/>
    </row>
    <row r="300" spans="2:3" ht="16.5" hidden="1" customHeight="1">
      <c r="B300" s="16"/>
      <c r="C300" s="16"/>
    </row>
    <row r="301" spans="2:3" ht="16.5" hidden="1" customHeight="1">
      <c r="B301" s="16"/>
      <c r="C301" s="16"/>
    </row>
    <row r="302" spans="2:3" ht="16.5" hidden="1" customHeight="1">
      <c r="B302" s="16"/>
      <c r="C302" s="16"/>
    </row>
    <row r="303" spans="2:3" ht="16.5" hidden="1" customHeight="1">
      <c r="B303" s="16"/>
      <c r="C303" s="16"/>
    </row>
    <row r="304" spans="2:3" ht="16.5" hidden="1" customHeight="1">
      <c r="B304" s="16"/>
      <c r="C304" s="16"/>
    </row>
    <row r="305" spans="2:3" ht="16.5" hidden="1" customHeight="1">
      <c r="B305" s="16"/>
      <c r="C305" s="16"/>
    </row>
    <row r="306" spans="2:3" ht="16.5" hidden="1" customHeight="1">
      <c r="B306" s="16"/>
      <c r="C306" s="16"/>
    </row>
    <row r="307" spans="2:3" ht="16.5" hidden="1" customHeight="1">
      <c r="B307" s="16"/>
      <c r="C307" s="16"/>
    </row>
    <row r="308" spans="2:3" ht="16.5" hidden="1" customHeight="1">
      <c r="B308" s="16"/>
      <c r="C308" s="16"/>
    </row>
    <row r="309" spans="2:3" ht="16.5" hidden="1" customHeight="1">
      <c r="B309" s="16"/>
      <c r="C309" s="16"/>
    </row>
    <row r="310" spans="2:3" ht="16.5" hidden="1" customHeight="1">
      <c r="B310" s="16"/>
      <c r="C310" s="16"/>
    </row>
    <row r="311" spans="2:3" ht="16.5" hidden="1" customHeight="1">
      <c r="B311" s="16"/>
      <c r="C311" s="16"/>
    </row>
    <row r="312" spans="2:3" ht="16.5" hidden="1" customHeight="1">
      <c r="B312" s="16"/>
      <c r="C312" s="16"/>
    </row>
    <row r="313" spans="2:3" ht="16.5" hidden="1" customHeight="1">
      <c r="B313" s="16"/>
      <c r="C313" s="16"/>
    </row>
    <row r="314" spans="2:3" ht="16.5" hidden="1" customHeight="1">
      <c r="B314" s="16"/>
      <c r="C314" s="16"/>
    </row>
    <row r="315" spans="2:3" ht="16.5" hidden="1" customHeight="1">
      <c r="B315" s="16"/>
      <c r="C315" s="16"/>
    </row>
    <row r="316" spans="2:3" ht="16.5" hidden="1" customHeight="1">
      <c r="B316" s="16"/>
      <c r="C316" s="16"/>
    </row>
    <row r="317" spans="2:3" ht="16.5" hidden="1" customHeight="1">
      <c r="B317" s="16"/>
      <c r="C317" s="16"/>
    </row>
    <row r="318" spans="2:3" ht="16.5" hidden="1" customHeight="1">
      <c r="B318" s="16"/>
      <c r="C318" s="16"/>
    </row>
    <row r="319" spans="2:3" ht="16.5" hidden="1" customHeight="1">
      <c r="B319" s="16"/>
      <c r="C319" s="16"/>
    </row>
    <row r="320" spans="2:3" ht="16.5" hidden="1" customHeight="1">
      <c r="B320" s="16"/>
      <c r="C320" s="16"/>
    </row>
    <row r="321" spans="2:3" ht="16.5" hidden="1" customHeight="1">
      <c r="B321" s="16"/>
      <c r="C321" s="16"/>
    </row>
    <row r="322" spans="2:3" ht="16.5" hidden="1" customHeight="1">
      <c r="B322" s="16"/>
      <c r="C322" s="16"/>
    </row>
    <row r="323" spans="2:3" ht="16.5" hidden="1" customHeight="1">
      <c r="B323" s="16"/>
      <c r="C323" s="16"/>
    </row>
    <row r="324" spans="2:3" ht="16.5" hidden="1" customHeight="1">
      <c r="B324" s="16"/>
      <c r="C324" s="16"/>
    </row>
    <row r="325" spans="2:3" ht="16.5" hidden="1" customHeight="1">
      <c r="B325" s="16"/>
      <c r="C325" s="16"/>
    </row>
    <row r="326" spans="2:3" ht="16.5" hidden="1" customHeight="1">
      <c r="B326" s="16"/>
      <c r="C326" s="16"/>
    </row>
    <row r="327" spans="2:3" ht="16.5" hidden="1" customHeight="1">
      <c r="B327" s="16"/>
      <c r="C327" s="16"/>
    </row>
    <row r="328" spans="2:3" ht="16.5" hidden="1" customHeight="1">
      <c r="B328" s="16"/>
      <c r="C328" s="16"/>
    </row>
    <row r="329" spans="2:3" ht="16.5" hidden="1" customHeight="1">
      <c r="B329" s="16"/>
      <c r="C329" s="16"/>
    </row>
    <row r="330" spans="2:3" ht="16.5" hidden="1" customHeight="1">
      <c r="B330" s="16"/>
      <c r="C330" s="16"/>
    </row>
    <row r="331" spans="2:3" ht="16.5" hidden="1" customHeight="1">
      <c r="B331" s="16"/>
      <c r="C331" s="16"/>
    </row>
    <row r="332" spans="2:3" ht="16.5" hidden="1" customHeight="1">
      <c r="B332" s="16"/>
      <c r="C332" s="16"/>
    </row>
    <row r="333" spans="2:3" ht="16.5" hidden="1" customHeight="1">
      <c r="B333" s="16"/>
      <c r="C333" s="16"/>
    </row>
    <row r="334" spans="2:3" ht="16.5" hidden="1" customHeight="1">
      <c r="B334" s="16"/>
      <c r="C334" s="16"/>
    </row>
    <row r="335" spans="2:3" ht="16.5" hidden="1" customHeight="1">
      <c r="B335" s="16"/>
      <c r="C335" s="16"/>
    </row>
    <row r="336" spans="2:3" ht="16.5" hidden="1" customHeight="1">
      <c r="B336" s="16"/>
      <c r="C336" s="16"/>
    </row>
    <row r="337" spans="2:3" ht="16.5" hidden="1" customHeight="1">
      <c r="B337" s="16"/>
      <c r="C337" s="16"/>
    </row>
    <row r="338" spans="2:3" ht="16.5" hidden="1" customHeight="1">
      <c r="B338" s="16"/>
      <c r="C338" s="16"/>
    </row>
    <row r="339" spans="2:3" ht="16.5" hidden="1" customHeight="1">
      <c r="B339" s="16"/>
      <c r="C339" s="16"/>
    </row>
    <row r="340" spans="2:3" ht="16.5" hidden="1" customHeight="1">
      <c r="B340" s="16"/>
      <c r="C340" s="16"/>
    </row>
    <row r="341" spans="2:3" ht="16.5" hidden="1" customHeight="1">
      <c r="B341" s="16"/>
      <c r="C341" s="16"/>
    </row>
    <row r="342" spans="2:3" ht="16.5" hidden="1" customHeight="1">
      <c r="B342" s="16"/>
      <c r="C342" s="16"/>
    </row>
    <row r="343" spans="2:3" ht="16.5" hidden="1" customHeight="1">
      <c r="B343" s="16"/>
      <c r="C343" s="16"/>
    </row>
    <row r="344" spans="2:3" ht="16.5" hidden="1" customHeight="1">
      <c r="B344" s="16"/>
      <c r="C344" s="16"/>
    </row>
    <row r="345" spans="2:3" ht="16.5" hidden="1" customHeight="1">
      <c r="B345" s="16"/>
      <c r="C345" s="16"/>
    </row>
    <row r="346" spans="2:3" ht="16.5" hidden="1" customHeight="1">
      <c r="B346" s="16"/>
      <c r="C346" s="16"/>
    </row>
    <row r="347" spans="2:3" ht="16.5" hidden="1" customHeight="1">
      <c r="B347" s="16"/>
      <c r="C347" s="16"/>
    </row>
    <row r="348" spans="2:3" ht="16.5" hidden="1" customHeight="1">
      <c r="B348" s="16"/>
      <c r="C348" s="16"/>
    </row>
    <row r="349" spans="2:3" ht="16.5" hidden="1" customHeight="1">
      <c r="B349" s="16"/>
      <c r="C349" s="16"/>
    </row>
    <row r="350" spans="2:3" ht="16.5" hidden="1" customHeight="1">
      <c r="B350" s="16"/>
      <c r="C350" s="16"/>
    </row>
    <row r="351" spans="2:3" ht="16.5" hidden="1" customHeight="1">
      <c r="B351" s="16"/>
      <c r="C351" s="16"/>
    </row>
    <row r="352" spans="2:3" ht="16.5" hidden="1" customHeight="1">
      <c r="B352" s="16"/>
      <c r="C352" s="16"/>
    </row>
    <row r="353" spans="2:3" ht="16.5" hidden="1" customHeight="1">
      <c r="B353" s="16"/>
      <c r="C353" s="16"/>
    </row>
    <row r="354" spans="2:3" ht="16.5" hidden="1" customHeight="1">
      <c r="B354" s="16"/>
      <c r="C354" s="16"/>
    </row>
    <row r="355" spans="2:3" ht="16.5" hidden="1" customHeight="1">
      <c r="B355" s="16"/>
      <c r="C355" s="16"/>
    </row>
    <row r="356" spans="2:3" ht="16.5" hidden="1" customHeight="1">
      <c r="B356" s="16"/>
      <c r="C356" s="16"/>
    </row>
    <row r="357" spans="2:3" ht="16.5" hidden="1" customHeight="1">
      <c r="B357" s="16"/>
      <c r="C357" s="16"/>
    </row>
    <row r="358" spans="2:3" ht="16.5" hidden="1" customHeight="1">
      <c r="B358" s="16"/>
      <c r="C358" s="16"/>
    </row>
    <row r="359" spans="2:3" ht="16.5" hidden="1" customHeight="1">
      <c r="B359" s="16"/>
      <c r="C359" s="16"/>
    </row>
    <row r="360" spans="2:3" ht="16.5" hidden="1" customHeight="1">
      <c r="B360" s="16"/>
      <c r="C360" s="16"/>
    </row>
    <row r="361" spans="2:3" ht="16.5" hidden="1" customHeight="1">
      <c r="B361" s="16"/>
      <c r="C361" s="16"/>
    </row>
    <row r="362" spans="2:3" ht="16.5" hidden="1" customHeight="1">
      <c r="B362" s="16"/>
      <c r="C362" s="16"/>
    </row>
    <row r="363" spans="2:3" ht="16.5" hidden="1" customHeight="1">
      <c r="B363" s="16"/>
      <c r="C363" s="16"/>
    </row>
    <row r="364" spans="2:3" ht="16.5" hidden="1" customHeight="1">
      <c r="B364" s="16"/>
      <c r="C364" s="16"/>
    </row>
    <row r="365" spans="2:3" ht="16.5" hidden="1" customHeight="1">
      <c r="B365" s="16"/>
      <c r="C365" s="16"/>
    </row>
    <row r="366" spans="2:3" ht="16.5" hidden="1" customHeight="1">
      <c r="B366" s="16"/>
      <c r="C366" s="16"/>
    </row>
    <row r="367" spans="2:3" ht="16.5" hidden="1" customHeight="1">
      <c r="B367" s="16"/>
      <c r="C367" s="16"/>
    </row>
    <row r="368" spans="2:3" ht="16.5" hidden="1" customHeight="1">
      <c r="B368" s="16"/>
      <c r="C368" s="16"/>
    </row>
    <row r="369" spans="2:3" ht="16.5" hidden="1" customHeight="1">
      <c r="B369" s="16"/>
      <c r="C369" s="16"/>
    </row>
    <row r="370" spans="2:3" ht="16.5" hidden="1" customHeight="1">
      <c r="B370" s="16"/>
      <c r="C370" s="16"/>
    </row>
    <row r="371" spans="2:3" ht="16.5" hidden="1" customHeight="1">
      <c r="B371" s="16"/>
      <c r="C371" s="16"/>
    </row>
    <row r="372" spans="2:3" ht="16.5" hidden="1" customHeight="1">
      <c r="B372" s="16"/>
      <c r="C372" s="16"/>
    </row>
    <row r="373" spans="2:3" ht="16.5" hidden="1" customHeight="1">
      <c r="B373" s="16"/>
      <c r="C373" s="16"/>
    </row>
    <row r="374" spans="2:3" ht="16.5" hidden="1" customHeight="1">
      <c r="B374" s="16"/>
      <c r="C374" s="16"/>
    </row>
    <row r="375" spans="2:3" ht="16.5" hidden="1" customHeight="1">
      <c r="B375" s="16"/>
      <c r="C375" s="16"/>
    </row>
    <row r="376" spans="2:3" ht="16.5" hidden="1" customHeight="1">
      <c r="B376" s="16"/>
      <c r="C376" s="16"/>
    </row>
    <row r="377" spans="2:3" ht="16.5" hidden="1" customHeight="1">
      <c r="B377" s="16"/>
      <c r="C377" s="16"/>
    </row>
    <row r="378" spans="2:3" ht="16.5" hidden="1" customHeight="1">
      <c r="B378" s="16"/>
      <c r="C378" s="16"/>
    </row>
    <row r="379" spans="2:3" ht="16.5" hidden="1" customHeight="1">
      <c r="B379" s="16"/>
      <c r="C379" s="16"/>
    </row>
    <row r="380" spans="2:3" ht="16.5" hidden="1" customHeight="1">
      <c r="B380" s="16"/>
      <c r="C380" s="16"/>
    </row>
    <row r="381" spans="2:3" ht="16.5" hidden="1" customHeight="1">
      <c r="B381" s="16"/>
      <c r="C381" s="16"/>
    </row>
    <row r="382" spans="2:3" ht="16.5" hidden="1" customHeight="1">
      <c r="B382" s="16"/>
      <c r="C382" s="16"/>
    </row>
    <row r="383" spans="2:3" ht="16.5" hidden="1" customHeight="1">
      <c r="B383" s="16"/>
      <c r="C383" s="16"/>
    </row>
    <row r="384" spans="2:3" ht="16.5" hidden="1" customHeight="1">
      <c r="B384" s="16"/>
      <c r="C384" s="16"/>
    </row>
    <row r="385" spans="2:3" ht="16.5" hidden="1" customHeight="1">
      <c r="B385" s="16"/>
      <c r="C385" s="16"/>
    </row>
    <row r="386" spans="2:3" ht="16.5" hidden="1" customHeight="1">
      <c r="B386" s="16"/>
      <c r="C386" s="16"/>
    </row>
    <row r="387" spans="2:3" ht="16.5" hidden="1" customHeight="1">
      <c r="B387" s="16"/>
      <c r="C387" s="16"/>
    </row>
    <row r="388" spans="2:3" ht="16.5" hidden="1" customHeight="1">
      <c r="B388" s="16"/>
      <c r="C388" s="16"/>
    </row>
    <row r="389" spans="2:3" ht="16.5" hidden="1" customHeight="1">
      <c r="B389" s="16"/>
      <c r="C389" s="16"/>
    </row>
    <row r="390" spans="2:3" ht="16.5" hidden="1" customHeight="1">
      <c r="B390" s="16"/>
      <c r="C390" s="16"/>
    </row>
    <row r="391" spans="2:3" ht="16.5" hidden="1" customHeight="1">
      <c r="B391" s="16"/>
      <c r="C391" s="16"/>
    </row>
    <row r="392" spans="2:3" ht="16.5" hidden="1" customHeight="1">
      <c r="B392" s="16"/>
      <c r="C392" s="16"/>
    </row>
    <row r="393" spans="2:3" ht="16.5" hidden="1" customHeight="1">
      <c r="B393" s="16"/>
      <c r="C393" s="16"/>
    </row>
    <row r="394" spans="2:3" ht="16.5" hidden="1" customHeight="1">
      <c r="B394" s="16"/>
      <c r="C394" s="16"/>
    </row>
    <row r="395" spans="2:3" ht="16.5" hidden="1" customHeight="1">
      <c r="B395" s="16"/>
      <c r="C395" s="16"/>
    </row>
    <row r="396" spans="2:3" ht="16.5" hidden="1" customHeight="1">
      <c r="B396" s="16"/>
      <c r="C396" s="16"/>
    </row>
    <row r="397" spans="2:3" ht="16.5" hidden="1" customHeight="1">
      <c r="B397" s="16"/>
      <c r="C397" s="16"/>
    </row>
    <row r="398" spans="2:3" ht="16.5" hidden="1" customHeight="1">
      <c r="B398" s="16"/>
      <c r="C398" s="16"/>
    </row>
    <row r="399" spans="2:3" ht="16.5" hidden="1" customHeight="1">
      <c r="B399" s="16"/>
      <c r="C399" s="16"/>
    </row>
    <row r="400" spans="2:3" ht="16.5" hidden="1" customHeight="1">
      <c r="B400" s="16"/>
      <c r="C400" s="16"/>
    </row>
    <row r="401" spans="2:3" ht="16.5" hidden="1" customHeight="1">
      <c r="B401" s="16"/>
      <c r="C401" s="16"/>
    </row>
    <row r="402" spans="2:3" ht="16.5" hidden="1" customHeight="1">
      <c r="B402" s="16"/>
      <c r="C402" s="16"/>
    </row>
    <row r="403" spans="2:3" ht="16.5" hidden="1" customHeight="1">
      <c r="B403" s="16"/>
      <c r="C403" s="16"/>
    </row>
    <row r="404" spans="2:3" ht="16.5" hidden="1" customHeight="1">
      <c r="B404" s="16"/>
      <c r="C404" s="16"/>
    </row>
    <row r="405" spans="2:3" ht="16.5" hidden="1" customHeight="1">
      <c r="B405" s="16"/>
      <c r="C405" s="16"/>
    </row>
    <row r="406" spans="2:3" ht="16.5" hidden="1" customHeight="1">
      <c r="B406" s="16"/>
      <c r="C406" s="16"/>
    </row>
    <row r="407" spans="2:3" ht="16.5" hidden="1" customHeight="1">
      <c r="B407" s="16"/>
      <c r="C407" s="16"/>
    </row>
    <row r="408" spans="2:3" ht="16.5" hidden="1" customHeight="1">
      <c r="B408" s="16"/>
      <c r="C408" s="16"/>
    </row>
    <row r="409" spans="2:3" ht="16.5" hidden="1" customHeight="1">
      <c r="B409" s="16"/>
      <c r="C409" s="16"/>
    </row>
    <row r="410" spans="2:3" ht="16.5" hidden="1" customHeight="1">
      <c r="B410" s="16"/>
      <c r="C410" s="16"/>
    </row>
    <row r="411" spans="2:3" ht="16.5" hidden="1" customHeight="1">
      <c r="B411" s="16"/>
      <c r="C411" s="16"/>
    </row>
    <row r="412" spans="2:3" ht="16.5" hidden="1" customHeight="1">
      <c r="B412" s="16"/>
      <c r="C412" s="16"/>
    </row>
    <row r="413" spans="2:3" ht="16.5" hidden="1" customHeight="1">
      <c r="B413" s="16"/>
      <c r="C413" s="16"/>
    </row>
    <row r="414" spans="2:3" ht="16.5" hidden="1" customHeight="1">
      <c r="B414" s="16"/>
      <c r="C414" s="16"/>
    </row>
    <row r="415" spans="2:3" ht="16.5" hidden="1" customHeight="1">
      <c r="B415" s="16"/>
      <c r="C415" s="16"/>
    </row>
    <row r="416" spans="2:3" ht="16.5" hidden="1" customHeight="1">
      <c r="B416" s="16"/>
      <c r="C416" s="16"/>
    </row>
    <row r="417" spans="2:3" ht="16.5" hidden="1" customHeight="1">
      <c r="B417" s="16"/>
      <c r="C417" s="16"/>
    </row>
    <row r="418" spans="2:3" ht="16.5" hidden="1" customHeight="1">
      <c r="B418" s="16"/>
      <c r="C418" s="16"/>
    </row>
    <row r="419" spans="2:3" ht="16.5" hidden="1" customHeight="1">
      <c r="B419" s="16"/>
      <c r="C419" s="16"/>
    </row>
    <row r="420" spans="2:3" ht="16.5" hidden="1" customHeight="1">
      <c r="B420" s="16"/>
      <c r="C420" s="16"/>
    </row>
    <row r="421" spans="2:3" ht="16.5" hidden="1" customHeight="1">
      <c r="B421" s="16"/>
      <c r="C421" s="16"/>
    </row>
    <row r="422" spans="2:3" ht="16.5" hidden="1" customHeight="1">
      <c r="B422" s="16"/>
      <c r="C422" s="16"/>
    </row>
    <row r="423" spans="2:3" ht="16.5" hidden="1" customHeight="1">
      <c r="B423" s="16"/>
      <c r="C423" s="16"/>
    </row>
    <row r="424" spans="2:3" ht="16.5" hidden="1" customHeight="1">
      <c r="B424" s="16"/>
      <c r="C424" s="16"/>
    </row>
    <row r="425" spans="2:3" ht="16.5" hidden="1" customHeight="1">
      <c r="B425" s="16"/>
      <c r="C425" s="16"/>
    </row>
    <row r="426" spans="2:3" ht="16.5" hidden="1" customHeight="1">
      <c r="B426" s="16"/>
      <c r="C426" s="16"/>
    </row>
    <row r="427" spans="2:3" ht="16.5" hidden="1" customHeight="1">
      <c r="B427" s="16"/>
      <c r="C427" s="16"/>
    </row>
    <row r="428" spans="2:3" ht="16.5" hidden="1" customHeight="1">
      <c r="B428" s="16"/>
      <c r="C428" s="16"/>
    </row>
    <row r="429" spans="2:3" ht="16.5" hidden="1" customHeight="1">
      <c r="B429" s="16"/>
      <c r="C429" s="16"/>
    </row>
    <row r="430" spans="2:3" ht="16.5" hidden="1" customHeight="1">
      <c r="B430" s="16"/>
      <c r="C430" s="16"/>
    </row>
    <row r="431" spans="2:3" ht="16.5" hidden="1" customHeight="1">
      <c r="B431" s="16"/>
      <c r="C431" s="16"/>
    </row>
    <row r="432" spans="2:3" ht="16.5" hidden="1" customHeight="1">
      <c r="B432" s="16"/>
      <c r="C432" s="16"/>
    </row>
    <row r="433" spans="2:3" ht="16.5" hidden="1" customHeight="1">
      <c r="B433" s="16"/>
      <c r="C433" s="16"/>
    </row>
    <row r="434" spans="2:3" ht="16.5" hidden="1" customHeight="1">
      <c r="B434" s="16"/>
      <c r="C434" s="16"/>
    </row>
    <row r="435" spans="2:3" ht="16.5" hidden="1" customHeight="1">
      <c r="B435" s="16"/>
      <c r="C435" s="16"/>
    </row>
    <row r="436" spans="2:3" ht="16.5" hidden="1" customHeight="1">
      <c r="B436" s="16"/>
      <c r="C436" s="16"/>
    </row>
    <row r="437" spans="2:3" ht="16.5" hidden="1" customHeight="1">
      <c r="B437" s="16"/>
      <c r="C437" s="16"/>
    </row>
    <row r="438" spans="2:3" ht="16.5" hidden="1" customHeight="1">
      <c r="B438" s="16"/>
      <c r="C438" s="16"/>
    </row>
    <row r="439" spans="2:3" ht="16.5" hidden="1" customHeight="1">
      <c r="B439" s="16"/>
      <c r="C439" s="16"/>
    </row>
    <row r="440" spans="2:3" ht="16.5" hidden="1" customHeight="1">
      <c r="B440" s="16"/>
      <c r="C440" s="16"/>
    </row>
    <row r="441" spans="2:3" ht="16.5" hidden="1" customHeight="1">
      <c r="B441" s="16"/>
      <c r="C441" s="16"/>
    </row>
    <row r="442" spans="2:3" ht="16.5" hidden="1" customHeight="1">
      <c r="B442" s="16"/>
      <c r="C442" s="16"/>
    </row>
    <row r="443" spans="2:3" ht="16.5" hidden="1" customHeight="1">
      <c r="B443" s="16"/>
      <c r="C443" s="16"/>
    </row>
    <row r="444" spans="2:3" ht="16.5" hidden="1" customHeight="1">
      <c r="B444" s="16"/>
      <c r="C444" s="16"/>
    </row>
    <row r="445" spans="2:3" ht="16.5" hidden="1" customHeight="1">
      <c r="B445" s="16"/>
      <c r="C445" s="16"/>
    </row>
    <row r="446" spans="2:3" ht="16.5" hidden="1" customHeight="1">
      <c r="B446" s="16"/>
      <c r="C446" s="16"/>
    </row>
    <row r="447" spans="2:3" ht="16.5" hidden="1" customHeight="1">
      <c r="B447" s="16"/>
      <c r="C447" s="16"/>
    </row>
    <row r="448" spans="2:3" ht="16.5" hidden="1" customHeight="1">
      <c r="B448" s="16"/>
      <c r="C448" s="16"/>
    </row>
    <row r="449" spans="2:3" ht="16.5" hidden="1" customHeight="1">
      <c r="B449" s="16"/>
      <c r="C449" s="16"/>
    </row>
    <row r="450" spans="2:3" ht="16.5" hidden="1" customHeight="1">
      <c r="B450" s="16"/>
      <c r="C450" s="16"/>
    </row>
    <row r="451" spans="2:3" ht="16.5" hidden="1" customHeight="1">
      <c r="B451" s="16"/>
      <c r="C451" s="16"/>
    </row>
    <row r="452" spans="2:3" ht="16.5" hidden="1" customHeight="1">
      <c r="B452" s="16"/>
      <c r="C452" s="16"/>
    </row>
    <row r="453" spans="2:3" ht="16.5" hidden="1" customHeight="1">
      <c r="B453" s="16"/>
      <c r="C453" s="16"/>
    </row>
    <row r="454" spans="2:3" ht="16.5" hidden="1" customHeight="1">
      <c r="B454" s="16"/>
      <c r="C454" s="16"/>
    </row>
    <row r="455" spans="2:3" ht="16.5" hidden="1" customHeight="1">
      <c r="B455" s="16"/>
      <c r="C455" s="16"/>
    </row>
    <row r="456" spans="2:3" ht="16.5" hidden="1" customHeight="1">
      <c r="B456" s="16"/>
      <c r="C456" s="16"/>
    </row>
    <row r="457" spans="2:3" ht="16.5" hidden="1" customHeight="1">
      <c r="B457" s="16"/>
      <c r="C457" s="16"/>
    </row>
    <row r="458" spans="2:3" ht="16.5" hidden="1" customHeight="1">
      <c r="B458" s="16"/>
      <c r="C458" s="16"/>
    </row>
    <row r="459" spans="2:3" ht="16.5" hidden="1" customHeight="1">
      <c r="B459" s="16"/>
      <c r="C459" s="16"/>
    </row>
    <row r="460" spans="2:3" ht="16.5" hidden="1" customHeight="1">
      <c r="B460" s="16"/>
      <c r="C460" s="16"/>
    </row>
    <row r="461" spans="2:3" ht="16.5" hidden="1" customHeight="1">
      <c r="B461" s="16"/>
      <c r="C461" s="16"/>
    </row>
    <row r="462" spans="2:3" ht="16.5" hidden="1" customHeight="1">
      <c r="B462" s="16"/>
      <c r="C462" s="16"/>
    </row>
    <row r="463" spans="2:3" ht="16.5" hidden="1" customHeight="1">
      <c r="B463" s="16"/>
      <c r="C463" s="16"/>
    </row>
    <row r="464" spans="2:3" ht="16.5" hidden="1" customHeight="1">
      <c r="B464" s="16"/>
      <c r="C464" s="16"/>
    </row>
    <row r="465" spans="2:3" ht="16.5" hidden="1" customHeight="1">
      <c r="B465" s="16"/>
      <c r="C465" s="16"/>
    </row>
    <row r="466" spans="2:3" ht="16.5" hidden="1" customHeight="1">
      <c r="B466" s="16"/>
      <c r="C466" s="16"/>
    </row>
    <row r="467" spans="2:3" ht="16.5" hidden="1" customHeight="1">
      <c r="B467" s="16"/>
      <c r="C467" s="16"/>
    </row>
    <row r="468" spans="2:3" ht="16.5" hidden="1" customHeight="1">
      <c r="B468" s="16"/>
      <c r="C468" s="16"/>
    </row>
    <row r="469" spans="2:3" ht="16.5" hidden="1" customHeight="1">
      <c r="B469" s="16"/>
      <c r="C469" s="16"/>
    </row>
    <row r="470" spans="2:3" ht="16.5" hidden="1" customHeight="1">
      <c r="B470" s="16"/>
      <c r="C470" s="16"/>
    </row>
    <row r="471" spans="2:3" ht="16.5" hidden="1" customHeight="1">
      <c r="B471" s="16"/>
      <c r="C471" s="16"/>
    </row>
    <row r="472" spans="2:3" ht="16.5" hidden="1" customHeight="1">
      <c r="B472" s="16"/>
      <c r="C472" s="16"/>
    </row>
    <row r="473" spans="2:3" ht="16.5" hidden="1" customHeight="1">
      <c r="B473" s="16"/>
      <c r="C473" s="16"/>
    </row>
    <row r="474" spans="2:3" ht="16.5" hidden="1" customHeight="1">
      <c r="B474" s="16"/>
      <c r="C474" s="16"/>
    </row>
    <row r="475" spans="2:3" ht="16.5" hidden="1" customHeight="1">
      <c r="B475" s="16"/>
      <c r="C475" s="16"/>
    </row>
    <row r="476" spans="2:3" ht="16.5" hidden="1" customHeight="1">
      <c r="B476" s="16"/>
      <c r="C476" s="16"/>
    </row>
    <row r="477" spans="2:3" ht="16.5" hidden="1" customHeight="1">
      <c r="B477" s="16"/>
      <c r="C477" s="16"/>
    </row>
    <row r="478" spans="2:3" ht="16.5" hidden="1" customHeight="1">
      <c r="B478" s="16"/>
      <c r="C478" s="16"/>
    </row>
    <row r="479" spans="2:3" ht="16.5" hidden="1" customHeight="1">
      <c r="B479" s="16"/>
      <c r="C479" s="16"/>
    </row>
    <row r="480" spans="2:3" ht="16.5" hidden="1" customHeight="1">
      <c r="B480" s="16"/>
      <c r="C480" s="16"/>
    </row>
    <row r="481" spans="2:3" ht="16.5" hidden="1" customHeight="1">
      <c r="B481" s="16"/>
      <c r="C481" s="16"/>
    </row>
    <row r="482" spans="2:3" ht="16.5" hidden="1" customHeight="1">
      <c r="B482" s="16"/>
      <c r="C482" s="16"/>
    </row>
    <row r="483" spans="2:3" ht="16.5" hidden="1" customHeight="1">
      <c r="B483" s="16"/>
      <c r="C483" s="16"/>
    </row>
    <row r="484" spans="2:3" ht="16.5" hidden="1" customHeight="1">
      <c r="B484" s="16"/>
      <c r="C484" s="16"/>
    </row>
    <row r="485" spans="2:3" ht="16.5" hidden="1" customHeight="1">
      <c r="B485" s="16"/>
      <c r="C485" s="16"/>
    </row>
    <row r="486" spans="2:3" ht="16.5" hidden="1" customHeight="1">
      <c r="B486" s="16"/>
      <c r="C486" s="16"/>
    </row>
    <row r="487" spans="2:3" ht="16.5" hidden="1" customHeight="1">
      <c r="B487" s="16"/>
      <c r="C487" s="16"/>
    </row>
    <row r="488" spans="2:3" ht="16.5" hidden="1" customHeight="1">
      <c r="B488" s="16"/>
      <c r="C488" s="16"/>
    </row>
    <row r="489" spans="2:3" ht="16.5" hidden="1" customHeight="1">
      <c r="B489" s="16"/>
      <c r="C489" s="16"/>
    </row>
    <row r="490" spans="2:3" ht="16.5" hidden="1" customHeight="1">
      <c r="B490" s="16"/>
      <c r="C490" s="16"/>
    </row>
    <row r="491" spans="2:3" ht="16.5" hidden="1" customHeight="1">
      <c r="B491" s="16"/>
      <c r="C491" s="16"/>
    </row>
    <row r="492" spans="2:3" ht="16.5" hidden="1" customHeight="1">
      <c r="B492" s="16"/>
      <c r="C492" s="16"/>
    </row>
    <row r="493" spans="2:3" ht="16.5" hidden="1" customHeight="1">
      <c r="B493" s="16"/>
      <c r="C493" s="16"/>
    </row>
    <row r="494" spans="2:3" ht="16.5" hidden="1" customHeight="1">
      <c r="B494" s="16"/>
      <c r="C494" s="16"/>
    </row>
    <row r="495" spans="2:3" ht="16.5" hidden="1" customHeight="1">
      <c r="B495" s="16"/>
      <c r="C495" s="16"/>
    </row>
    <row r="496" spans="2:3" ht="16.5" hidden="1" customHeight="1">
      <c r="B496" s="16"/>
      <c r="C496" s="16"/>
    </row>
    <row r="497" spans="2:3" ht="16.5" hidden="1" customHeight="1">
      <c r="B497" s="16"/>
      <c r="C497" s="16"/>
    </row>
    <row r="498" spans="2:3" ht="16.5" hidden="1" customHeight="1">
      <c r="B498" s="16"/>
      <c r="C498" s="16"/>
    </row>
    <row r="499" spans="2:3" ht="16.5" hidden="1" customHeight="1">
      <c r="B499" s="16"/>
      <c r="C499" s="16"/>
    </row>
    <row r="500" spans="2:3" ht="16.5" hidden="1" customHeight="1">
      <c r="B500" s="16"/>
      <c r="C500" s="16"/>
    </row>
    <row r="501" spans="2:3" ht="16.5" hidden="1" customHeight="1">
      <c r="B501" s="16"/>
      <c r="C501" s="16"/>
    </row>
    <row r="502" spans="2:3" ht="16.5" hidden="1" customHeight="1">
      <c r="B502" s="16"/>
      <c r="C502" s="16"/>
    </row>
    <row r="503" spans="2:3" ht="16.5" hidden="1" customHeight="1">
      <c r="B503" s="16"/>
      <c r="C503" s="16"/>
    </row>
    <row r="504" spans="2:3" ht="16.5" hidden="1" customHeight="1">
      <c r="B504" s="16"/>
      <c r="C504" s="16"/>
    </row>
    <row r="505" spans="2:3" ht="16.5" hidden="1" customHeight="1">
      <c r="B505" s="16"/>
      <c r="C505" s="16"/>
    </row>
    <row r="506" spans="2:3" ht="16.5" hidden="1" customHeight="1">
      <c r="B506" s="16"/>
      <c r="C506" s="16"/>
    </row>
    <row r="507" spans="2:3" ht="16.5" hidden="1" customHeight="1">
      <c r="B507" s="16"/>
      <c r="C507" s="16"/>
    </row>
    <row r="508" spans="2:3" ht="16.5" hidden="1" customHeight="1">
      <c r="B508" s="16"/>
      <c r="C508" s="16"/>
    </row>
    <row r="509" spans="2:3" ht="16.5" hidden="1" customHeight="1">
      <c r="B509" s="16"/>
      <c r="C509" s="16"/>
    </row>
    <row r="510" spans="2:3" ht="16.5" hidden="1" customHeight="1">
      <c r="B510" s="16"/>
      <c r="C510" s="16"/>
    </row>
    <row r="511" spans="2:3" ht="16.5" hidden="1" customHeight="1">
      <c r="B511" s="16"/>
      <c r="C511" s="16"/>
    </row>
    <row r="512" spans="2:3" ht="16.5" hidden="1" customHeight="1">
      <c r="B512" s="16"/>
      <c r="C512" s="16"/>
    </row>
    <row r="513" spans="2:3" ht="16.5" hidden="1" customHeight="1">
      <c r="B513" s="16"/>
      <c r="C513" s="16"/>
    </row>
    <row r="514" spans="2:3" ht="16.5" hidden="1" customHeight="1">
      <c r="B514" s="16"/>
      <c r="C514" s="16"/>
    </row>
    <row r="515" spans="2:3" ht="16.5" hidden="1" customHeight="1">
      <c r="B515" s="16"/>
      <c r="C515" s="16"/>
    </row>
    <row r="516" spans="2:3" ht="16.5" hidden="1" customHeight="1">
      <c r="B516" s="16"/>
      <c r="C516" s="16"/>
    </row>
    <row r="517" spans="2:3" ht="16.5" hidden="1" customHeight="1">
      <c r="B517" s="16"/>
      <c r="C517" s="16"/>
    </row>
    <row r="518" spans="2:3" ht="16.5" hidden="1" customHeight="1">
      <c r="B518" s="16"/>
      <c r="C518" s="16"/>
    </row>
    <row r="519" spans="2:3" ht="16.5" hidden="1" customHeight="1">
      <c r="B519" s="16"/>
      <c r="C519" s="16"/>
    </row>
    <row r="520" spans="2:3" ht="16.5" hidden="1" customHeight="1">
      <c r="B520" s="16"/>
      <c r="C520" s="16"/>
    </row>
    <row r="521" spans="2:3" ht="16.5" hidden="1" customHeight="1">
      <c r="B521" s="16"/>
      <c r="C521" s="16"/>
    </row>
    <row r="522" spans="2:3" ht="16.5" hidden="1" customHeight="1">
      <c r="B522" s="16"/>
      <c r="C522" s="16"/>
    </row>
    <row r="523" spans="2:3" ht="16.5" hidden="1" customHeight="1">
      <c r="B523" s="16"/>
      <c r="C523" s="16"/>
    </row>
    <row r="524" spans="2:3" ht="16.5" hidden="1" customHeight="1">
      <c r="B524" s="16"/>
      <c r="C524" s="16"/>
    </row>
    <row r="525" spans="2:3" ht="16.5" hidden="1" customHeight="1">
      <c r="B525" s="16"/>
      <c r="C525" s="16"/>
    </row>
    <row r="526" spans="2:3" ht="16.5" hidden="1" customHeight="1">
      <c r="B526" s="16"/>
      <c r="C526" s="16"/>
    </row>
    <row r="527" spans="2:3" ht="16.5" hidden="1" customHeight="1">
      <c r="B527" s="16"/>
      <c r="C527" s="16"/>
    </row>
    <row r="528" spans="2:3" ht="16.5" hidden="1" customHeight="1">
      <c r="B528" s="16"/>
      <c r="C528" s="16"/>
    </row>
    <row r="529" spans="2:3" ht="16.5" hidden="1" customHeight="1">
      <c r="B529" s="16"/>
      <c r="C529" s="16"/>
    </row>
    <row r="530" spans="2:3" ht="16.5" hidden="1" customHeight="1">
      <c r="B530" s="16"/>
      <c r="C530" s="16"/>
    </row>
    <row r="531" spans="2:3" ht="16.5" hidden="1" customHeight="1">
      <c r="B531" s="16"/>
      <c r="C531" s="16"/>
    </row>
    <row r="532" spans="2:3" ht="16.5" hidden="1" customHeight="1">
      <c r="B532" s="16"/>
      <c r="C532" s="16"/>
    </row>
    <row r="533" spans="2:3" ht="16.5" hidden="1" customHeight="1">
      <c r="B533" s="16"/>
      <c r="C533" s="16"/>
    </row>
    <row r="534" spans="2:3" ht="16.5" hidden="1" customHeight="1">
      <c r="B534" s="16"/>
      <c r="C534" s="16"/>
    </row>
    <row r="535" spans="2:3" ht="16.5" hidden="1" customHeight="1">
      <c r="B535" s="16"/>
      <c r="C535" s="16"/>
    </row>
    <row r="536" spans="2:3" ht="16.5" hidden="1" customHeight="1">
      <c r="B536" s="16"/>
      <c r="C536" s="16"/>
    </row>
    <row r="537" spans="2:3" ht="16.5" hidden="1" customHeight="1">
      <c r="B537" s="16"/>
      <c r="C537" s="16"/>
    </row>
    <row r="538" spans="2:3" ht="16.5" hidden="1" customHeight="1">
      <c r="B538" s="16"/>
      <c r="C538" s="16"/>
    </row>
    <row r="539" spans="2:3" ht="16.5" hidden="1" customHeight="1">
      <c r="B539" s="16"/>
      <c r="C539" s="16"/>
    </row>
    <row r="540" spans="2:3" ht="16.5" hidden="1" customHeight="1">
      <c r="B540" s="16"/>
      <c r="C540" s="16"/>
    </row>
    <row r="541" spans="2:3" ht="16.5" hidden="1" customHeight="1">
      <c r="B541" s="16"/>
      <c r="C541" s="16"/>
    </row>
    <row r="542" spans="2:3" ht="16.5" hidden="1" customHeight="1">
      <c r="B542" s="16"/>
      <c r="C542" s="16"/>
    </row>
    <row r="543" spans="2:3" ht="16.5" hidden="1" customHeight="1">
      <c r="B543" s="16"/>
      <c r="C543" s="16"/>
    </row>
    <row r="544" spans="2:3" ht="16.5" hidden="1" customHeight="1">
      <c r="B544" s="16"/>
      <c r="C544" s="16"/>
    </row>
    <row r="545" spans="2:3" ht="16.5" hidden="1" customHeight="1">
      <c r="B545" s="16"/>
      <c r="C545" s="16"/>
    </row>
    <row r="546" spans="2:3" ht="16.5" hidden="1" customHeight="1">
      <c r="B546" s="16"/>
      <c r="C546" s="16"/>
    </row>
    <row r="547" spans="2:3" ht="16.5" hidden="1" customHeight="1">
      <c r="B547" s="16"/>
      <c r="C547" s="16"/>
    </row>
    <row r="548" spans="2:3" ht="16.5" hidden="1" customHeight="1">
      <c r="B548" s="16"/>
      <c r="C548" s="16"/>
    </row>
    <row r="549" spans="2:3" ht="16.5" hidden="1" customHeight="1">
      <c r="B549" s="16"/>
      <c r="C549" s="16"/>
    </row>
    <row r="550" spans="2:3" ht="16.5" hidden="1" customHeight="1">
      <c r="B550" s="16"/>
      <c r="C550" s="16"/>
    </row>
    <row r="551" spans="2:3" ht="16.5" hidden="1" customHeight="1">
      <c r="B551" s="16"/>
      <c r="C551" s="16"/>
    </row>
    <row r="552" spans="2:3" ht="16.5" hidden="1" customHeight="1">
      <c r="B552" s="16"/>
      <c r="C552" s="16"/>
    </row>
    <row r="553" spans="2:3" ht="16.5" hidden="1" customHeight="1">
      <c r="B553" s="16"/>
      <c r="C553" s="16"/>
    </row>
    <row r="554" spans="2:3" ht="16.5" hidden="1" customHeight="1"/>
    <row r="555" spans="2:3" ht="16.5" hidden="1" customHeight="1"/>
    <row r="556" spans="2:3" ht="16.5" hidden="1" customHeight="1"/>
    <row r="557" spans="2:3" ht="16.5" hidden="1" customHeight="1"/>
    <row r="558" spans="2:3" ht="16.5" hidden="1" customHeight="1"/>
    <row r="559" spans="2:3" ht="16.5" hidden="1" customHeight="1"/>
    <row r="560" spans="2:3" ht="16.5" hidden="1" customHeight="1"/>
    <row r="561" ht="16.5" hidden="1" customHeight="1"/>
    <row r="562" ht="16.5" hidden="1" customHeight="1"/>
    <row r="563" ht="16.5" hidden="1" customHeight="1"/>
    <row r="564" ht="16.5" hidden="1" customHeight="1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s="122" customFormat="1" ht="55.15" customHeight="1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5" customHeight="1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71.25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9.25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/>
    <row r="133" spans="6:13"/>
    <row r="134" spans="6:13"/>
    <row r="135" spans="6:13"/>
    <row r="136" spans="6:13"/>
    <row r="137" spans="6:13"/>
    <row r="138" spans="6:13"/>
    <row r="139" spans="6:13"/>
    <row r="140" spans="6:13"/>
    <row r="141" spans="6:13"/>
    <row r="142" spans="6:13"/>
    <row r="143" spans="6:13"/>
    <row r="144" spans="6:13"/>
    <row r="145"/>
    <row r="146"/>
    <row r="147"/>
    <row r="148"/>
    <row r="149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5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5" customHeight="1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>
      <c r="C133" s="46"/>
    </row>
    <row r="134" spans="3:21">
      <c r="C134" s="46"/>
    </row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5" zeroHeight="1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65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28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>
      <c r="A1" s="1168"/>
      <c r="B1" s="1169"/>
      <c r="C1" s="1165" t="s">
        <v>310</v>
      </c>
      <c r="D1" s="1166"/>
      <c r="E1" s="1170" t="s">
        <v>328</v>
      </c>
      <c r="F1" s="1171"/>
      <c r="G1" s="1171"/>
      <c r="H1" s="1171"/>
      <c r="I1" s="1172"/>
      <c r="J1" s="1170" t="s">
        <v>1215</v>
      </c>
      <c r="K1" s="1171"/>
      <c r="L1" s="1171"/>
      <c r="M1" s="1171"/>
      <c r="N1" s="1171"/>
      <c r="O1" s="1171"/>
      <c r="P1" s="1171"/>
      <c r="Q1" s="1171"/>
      <c r="R1" s="1172"/>
      <c r="S1" s="1170" t="s">
        <v>1216</v>
      </c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2"/>
      <c r="AF1" s="1165" t="s">
        <v>311</v>
      </c>
      <c r="AG1" s="1166"/>
      <c r="AH1" s="1079" t="s">
        <v>339</v>
      </c>
      <c r="AJ1" s="1165" t="s">
        <v>332</v>
      </c>
      <c r="AK1" s="1166"/>
      <c r="AM1" s="227" t="s">
        <v>1189</v>
      </c>
      <c r="AN1" s="1167" t="s">
        <v>1217</v>
      </c>
      <c r="AO1" s="1167"/>
      <c r="AP1" s="1167"/>
      <c r="AQ1" s="1167"/>
      <c r="AR1" s="1167"/>
      <c r="AS1" s="1167"/>
      <c r="AT1" s="1167"/>
      <c r="AU1" s="1167"/>
      <c r="AV1" s="1167"/>
      <c r="AW1" s="1167"/>
      <c r="AX1" s="1167"/>
      <c r="AY1" s="1167"/>
      <c r="AZ1" s="1167"/>
      <c r="BK1" s="1163" t="s">
        <v>1306</v>
      </c>
      <c r="BL1" s="1164"/>
    </row>
    <row r="2" spans="1:64" ht="182.25" customHeight="1" thickBot="1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5.75" thickBot="1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5.75" thickBot="1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15.75" thickBot="1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5.75" thickBot="1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5.75" thickBot="1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5.75" thickBot="1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5.75" thickBot="1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5.75" thickBot="1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5.75" thickBot="1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>
      <c r="Q16" s="51"/>
    </row>
    <row r="17" spans="17:17">
      <c r="Q17" s="122"/>
    </row>
    <row r="18" spans="17:17">
      <c r="Q18" s="122"/>
    </row>
    <row r="19" spans="17:17">
      <c r="Q19" s="122"/>
    </row>
    <row r="20" spans="17:17" ht="184.5" hidden="1" customHeight="1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'[1]G-3 Multipliers'!#REF!</xm:f>
          </x14:formula1>
          <xm:sqref>AF3:AG15</xm:sqref>
        </x14:dataValidation>
        <x14:dataValidation type="list" allowBlank="1" showInputMessage="1" showErrorMessage="1">
          <x14:formula1>
            <xm:f>'[1]G-1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5" zeroHeight="1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.75" thickBot="1">
      <c r="A1" s="1168"/>
      <c r="B1" s="1168"/>
    </row>
    <row r="2" spans="1:55" ht="31.5" customHeight="1" thickBot="1">
      <c r="A2" s="1168"/>
      <c r="B2" s="1168"/>
      <c r="C2" s="1182" t="s">
        <v>310</v>
      </c>
      <c r="D2" s="1183"/>
      <c r="E2" s="1170" t="s">
        <v>311</v>
      </c>
      <c r="F2" s="1171"/>
      <c r="G2" s="1171"/>
      <c r="H2" s="1170" t="s">
        <v>332</v>
      </c>
      <c r="I2" s="1171"/>
      <c r="J2" s="1171"/>
      <c r="K2" s="1171"/>
      <c r="L2" s="1172"/>
      <c r="N2" s="1184" t="s">
        <v>1491</v>
      </c>
      <c r="O2" s="1185"/>
      <c r="Q2" s="1180" t="s">
        <v>1492</v>
      </c>
      <c r="R2" s="1181"/>
      <c r="T2" s="1106" t="s">
        <v>329</v>
      </c>
      <c r="U2" s="1107"/>
      <c r="V2" s="1107"/>
      <c r="W2" s="1107"/>
      <c r="X2" s="1107"/>
      <c r="Y2" s="1176"/>
      <c r="AA2" s="1177" t="s">
        <v>347</v>
      </c>
      <c r="AB2" s="1178"/>
      <c r="AC2" s="166"/>
      <c r="AD2" s="1177" t="s">
        <v>347</v>
      </c>
      <c r="AE2" s="1178"/>
      <c r="AG2" s="1177" t="s">
        <v>351</v>
      </c>
      <c r="AH2" s="1179"/>
      <c r="AI2" s="1178"/>
      <c r="AK2" s="1177" t="s">
        <v>351</v>
      </c>
      <c r="AL2" s="1179"/>
      <c r="AM2" s="1178"/>
      <c r="AO2" s="901" t="s">
        <v>351</v>
      </c>
      <c r="AP2" s="1173"/>
      <c r="AQ2" s="460"/>
      <c r="AS2" s="1139" t="s">
        <v>303</v>
      </c>
      <c r="AT2" s="1174"/>
      <c r="AU2" s="1175"/>
      <c r="AY2" s="461"/>
      <c r="AZ2" s="462" t="s">
        <v>1298</v>
      </c>
      <c r="BB2" s="461" t="s">
        <v>1308</v>
      </c>
      <c r="BC2" s="462" t="s">
        <v>1309</v>
      </c>
    </row>
    <row r="3" spans="1:55" ht="45.75" thickBot="1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6" t="s">
        <v>1190</v>
      </c>
      <c r="V3" s="1107"/>
      <c r="W3" s="1107"/>
      <c r="X3" s="1107"/>
      <c r="Y3" s="1176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9.25" thickBot="1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15.75" thickBot="1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>
      <c r="AF10" s="166"/>
    </row>
    <row r="11" spans="1:55">
      <c r="AF11" s="166"/>
    </row>
    <row r="12" spans="1:55">
      <c r="AF12" s="166"/>
    </row>
    <row r="13" spans="1:55">
      <c r="AF13" s="166"/>
      <c r="AG13" s="166"/>
      <c r="AH13" s="166"/>
    </row>
    <row r="14" spans="1:55">
      <c r="AF14" s="166"/>
    </row>
    <row r="15" spans="1:55"/>
    <row r="16" spans="1:55"/>
    <row r="17"/>
    <row r="18"/>
    <row r="19"/>
    <row r="20"/>
    <row r="21"/>
    <row r="22"/>
    <row r="23"/>
    <row r="24"/>
    <row r="25"/>
    <row r="26"/>
    <row r="27"/>
    <row r="28"/>
    <row r="29"/>
    <row r="30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>
      <c r="A1" s="1188"/>
      <c r="B1" s="448"/>
      <c r="C1" s="448"/>
      <c r="D1" s="448"/>
      <c r="E1" s="448"/>
      <c r="F1" s="448"/>
      <c r="G1" s="448"/>
      <c r="H1" s="487"/>
    </row>
    <row r="2" spans="1:14" ht="29.45" customHeight="1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5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5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5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5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5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5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5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5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5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5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5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5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5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5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5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5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5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5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5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5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5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5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5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5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5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5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5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5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5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5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5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5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5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5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5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5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5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5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5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5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5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5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5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5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5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5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5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5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5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5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5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5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5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5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5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5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5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5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5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5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5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5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5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5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5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5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5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5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5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5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5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5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5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5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5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5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5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5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5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5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5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5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5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5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5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5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5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5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5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5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5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5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5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5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5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5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5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5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5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5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5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5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5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5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5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5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5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5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5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5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5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5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5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5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5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5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5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5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5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5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5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5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5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5"/>
    <row r="133" spans="1:9" ht="14.45" customHeight="1"/>
    <row r="134" spans="1:9" ht="14.45" customHeight="1"/>
    <row r="135" spans="1:9" ht="14.45" customHeight="1"/>
    <row r="136" spans="1:9" ht="14.45" customHeight="1"/>
    <row r="137" spans="1:9" ht="14.45" customHeight="1"/>
    <row r="138" spans="1:9" ht="14.45" customHeight="1"/>
    <row r="139" spans="1:9" ht="14.45" customHeight="1"/>
    <row r="140" spans="1:9" ht="14.45" customHeight="1"/>
    <row r="141" spans="1:9" ht="14.45" customHeight="1"/>
    <row r="142" spans="1:9" ht="14.45" customHeight="1"/>
    <row r="143" spans="1:9" ht="14.45" customHeight="1"/>
    <row r="144" spans="1:9" ht="14.45" customHeight="1"/>
    <row r="145" ht="14.45" customHeight="1"/>
    <row r="146" ht="14.45" customHeight="1"/>
    <row r="147" ht="14.45" customHeight="1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5" zeroHeight="1"/>
  <cols>
    <col min="1" max="1" width="9.140625" style="437" customWidth="1"/>
    <col min="2" max="2" width="44.28515625" style="437" customWidth="1"/>
    <col min="3" max="3" width="54.5703125" style="437" customWidth="1"/>
    <col min="4" max="4" width="22.42578125" style="437" customWidth="1"/>
    <col min="5" max="19" width="9.140625" style="437" customWidth="1"/>
    <col min="20" max="16384" width="9.140625" style="437" hidden="1"/>
  </cols>
  <sheetData>
    <row r="1" spans="2:4" ht="61.15" customHeight="1"/>
    <row r="2" spans="2:4" ht="15.75">
      <c r="B2" s="491" t="s">
        <v>1042</v>
      </c>
      <c r="C2" s="491" t="s">
        <v>1043</v>
      </c>
      <c r="D2" s="491" t="s">
        <v>1044</v>
      </c>
    </row>
    <row r="3" spans="2:4">
      <c r="B3" s="492" t="s">
        <v>373</v>
      </c>
      <c r="C3" s="444" t="s">
        <v>258</v>
      </c>
      <c r="D3" s="444" t="s">
        <v>6</v>
      </c>
    </row>
    <row r="4" spans="2:4">
      <c r="B4" s="492" t="s">
        <v>888</v>
      </c>
      <c r="C4" s="444" t="s">
        <v>257</v>
      </c>
      <c r="D4" s="444" t="s">
        <v>6</v>
      </c>
    </row>
    <row r="5" spans="2:4">
      <c r="B5" s="492" t="s">
        <v>889</v>
      </c>
      <c r="C5" s="444" t="s">
        <v>256</v>
      </c>
      <c r="D5" s="444" t="s">
        <v>5</v>
      </c>
    </row>
    <row r="6" spans="2:4">
      <c r="B6" s="492" t="s">
        <v>890</v>
      </c>
      <c r="C6" s="444" t="s">
        <v>257</v>
      </c>
      <c r="D6" s="444" t="s">
        <v>6</v>
      </c>
    </row>
    <row r="7" spans="2:4">
      <c r="B7" s="492" t="s">
        <v>184</v>
      </c>
      <c r="C7" s="444" t="s">
        <v>245</v>
      </c>
      <c r="D7" s="444" t="s">
        <v>8</v>
      </c>
    </row>
    <row r="8" spans="2:4">
      <c r="B8" s="492" t="s">
        <v>891</v>
      </c>
      <c r="C8" s="444" t="s">
        <v>259</v>
      </c>
      <c r="D8" s="444" t="s">
        <v>5</v>
      </c>
    </row>
    <row r="9" spans="2:4">
      <c r="B9" s="492" t="s">
        <v>892</v>
      </c>
      <c r="C9" s="444" t="s">
        <v>245</v>
      </c>
      <c r="D9" s="444" t="s">
        <v>8</v>
      </c>
    </row>
    <row r="10" spans="2:4">
      <c r="B10" s="492" t="s">
        <v>862</v>
      </c>
      <c r="C10" s="444" t="s">
        <v>258</v>
      </c>
      <c r="D10" s="444" t="s">
        <v>6</v>
      </c>
    </row>
    <row r="11" spans="2:4">
      <c r="B11" s="492" t="s">
        <v>893</v>
      </c>
      <c r="C11" s="444" t="s">
        <v>256</v>
      </c>
      <c r="D11" s="444" t="s">
        <v>5</v>
      </c>
    </row>
    <row r="12" spans="2:4">
      <c r="B12" s="492" t="s">
        <v>894</v>
      </c>
      <c r="C12" s="444" t="s">
        <v>258</v>
      </c>
      <c r="D12" s="444" t="s">
        <v>6</v>
      </c>
    </row>
    <row r="13" spans="2:4">
      <c r="B13" s="492" t="s">
        <v>863</v>
      </c>
      <c r="C13" s="444" t="s">
        <v>271</v>
      </c>
      <c r="D13" s="444" t="s">
        <v>6</v>
      </c>
    </row>
    <row r="14" spans="2:4">
      <c r="B14" s="492" t="s">
        <v>895</v>
      </c>
      <c r="C14" s="444" t="s">
        <v>271</v>
      </c>
      <c r="D14" s="444" t="s">
        <v>6</v>
      </c>
    </row>
    <row r="15" spans="2:4">
      <c r="B15" s="492" t="s">
        <v>896</v>
      </c>
      <c r="C15" s="444" t="s">
        <v>271</v>
      </c>
      <c r="D15" s="444" t="s">
        <v>6</v>
      </c>
    </row>
    <row r="16" spans="2:4">
      <c r="B16" s="492" t="s">
        <v>897</v>
      </c>
      <c r="C16" s="444" t="s">
        <v>261</v>
      </c>
      <c r="D16" s="444" t="s">
        <v>5</v>
      </c>
    </row>
    <row r="17" spans="2:4">
      <c r="B17" s="492" t="s">
        <v>898</v>
      </c>
      <c r="C17" s="444" t="s">
        <v>261</v>
      </c>
      <c r="D17" s="444" t="s">
        <v>5</v>
      </c>
    </row>
    <row r="18" spans="2:4">
      <c r="B18" s="492" t="s">
        <v>899</v>
      </c>
      <c r="C18" s="444" t="s">
        <v>245</v>
      </c>
      <c r="D18" s="444" t="s">
        <v>6</v>
      </c>
    </row>
    <row r="19" spans="2:4">
      <c r="B19" s="492" t="s">
        <v>900</v>
      </c>
      <c r="C19" s="444" t="s">
        <v>261</v>
      </c>
      <c r="D19" s="444" t="s">
        <v>5</v>
      </c>
    </row>
    <row r="20" spans="2:4">
      <c r="B20" s="492" t="s">
        <v>901</v>
      </c>
      <c r="C20" s="444" t="s">
        <v>247</v>
      </c>
      <c r="D20" s="444" t="s">
        <v>6</v>
      </c>
    </row>
    <row r="21" spans="2:4">
      <c r="B21" s="492" t="s">
        <v>902</v>
      </c>
      <c r="C21" s="444" t="s">
        <v>247</v>
      </c>
      <c r="D21" s="444" t="s">
        <v>6</v>
      </c>
    </row>
    <row r="22" spans="2:4">
      <c r="B22" s="492" t="s">
        <v>903</v>
      </c>
      <c r="C22" s="444" t="s">
        <v>247</v>
      </c>
      <c r="D22" s="444" t="s">
        <v>6</v>
      </c>
    </row>
    <row r="23" spans="2:4">
      <c r="B23" s="492" t="s">
        <v>904</v>
      </c>
      <c r="C23" s="444" t="s">
        <v>247</v>
      </c>
      <c r="D23" s="444" t="s">
        <v>6</v>
      </c>
    </row>
    <row r="24" spans="2:4">
      <c r="B24" s="492" t="s">
        <v>168</v>
      </c>
      <c r="C24" s="444" t="s">
        <v>153</v>
      </c>
      <c r="D24" s="444" t="s">
        <v>6</v>
      </c>
    </row>
    <row r="25" spans="2:4">
      <c r="B25" s="492" t="s">
        <v>168</v>
      </c>
      <c r="C25" s="444" t="s">
        <v>152</v>
      </c>
      <c r="D25" s="444" t="s">
        <v>6</v>
      </c>
    </row>
    <row r="26" spans="2:4">
      <c r="B26" s="492" t="s">
        <v>905</v>
      </c>
      <c r="C26" s="444" t="s">
        <v>151</v>
      </c>
      <c r="D26" s="444" t="s">
        <v>9</v>
      </c>
    </row>
    <row r="27" spans="2:4">
      <c r="B27" s="492" t="s">
        <v>905</v>
      </c>
      <c r="C27" s="444" t="s">
        <v>157</v>
      </c>
      <c r="D27" s="444" t="s">
        <v>9</v>
      </c>
    </row>
    <row r="28" spans="2:4">
      <c r="B28" s="492" t="s">
        <v>1056</v>
      </c>
      <c r="C28" s="444" t="s">
        <v>152</v>
      </c>
      <c r="D28" s="444" t="s">
        <v>6</v>
      </c>
    </row>
    <row r="29" spans="2:4">
      <c r="B29" s="492" t="s">
        <v>1056</v>
      </c>
      <c r="C29" s="444" t="s">
        <v>153</v>
      </c>
      <c r="D29" s="444" t="s">
        <v>6</v>
      </c>
    </row>
    <row r="30" spans="2:4">
      <c r="B30" s="492" t="s">
        <v>1057</v>
      </c>
      <c r="C30" s="444" t="s">
        <v>249</v>
      </c>
      <c r="D30" s="444" t="s">
        <v>8</v>
      </c>
    </row>
    <row r="31" spans="2:4">
      <c r="B31" s="492" t="s">
        <v>170</v>
      </c>
      <c r="C31" s="444" t="s">
        <v>158</v>
      </c>
      <c r="D31" s="444" t="s">
        <v>6</v>
      </c>
    </row>
    <row r="32" spans="2:4">
      <c r="B32" s="492" t="s">
        <v>906</v>
      </c>
      <c r="C32" s="444" t="s">
        <v>156</v>
      </c>
      <c r="D32" s="444" t="s">
        <v>9</v>
      </c>
    </row>
    <row r="33" spans="2:4">
      <c r="B33" s="493" t="s">
        <v>1049</v>
      </c>
      <c r="C33" s="459" t="s">
        <v>158</v>
      </c>
      <c r="D33" s="459" t="s">
        <v>6</v>
      </c>
    </row>
    <row r="34" spans="2:4">
      <c r="B34" s="492" t="s">
        <v>1058</v>
      </c>
      <c r="C34" s="444" t="s">
        <v>249</v>
      </c>
      <c r="D34" s="444" t="s">
        <v>8</v>
      </c>
    </row>
    <row r="35" spans="2:4">
      <c r="B35" s="492" t="s">
        <v>169</v>
      </c>
      <c r="C35" s="444" t="s">
        <v>155</v>
      </c>
      <c r="D35" s="444" t="s">
        <v>5</v>
      </c>
    </row>
    <row r="36" spans="2:4">
      <c r="B36" s="492" t="s">
        <v>169</v>
      </c>
      <c r="C36" s="444" t="s">
        <v>154</v>
      </c>
      <c r="D36" s="444" t="s">
        <v>5</v>
      </c>
    </row>
    <row r="37" spans="2:4">
      <c r="B37" s="492" t="s">
        <v>907</v>
      </c>
      <c r="C37" s="444" t="s">
        <v>154</v>
      </c>
      <c r="D37" s="444" t="s">
        <v>5</v>
      </c>
    </row>
    <row r="38" spans="2:4">
      <c r="B38" s="492" t="s">
        <v>907</v>
      </c>
      <c r="C38" s="444" t="s">
        <v>155</v>
      </c>
      <c r="D38" s="444" t="s">
        <v>5</v>
      </c>
    </row>
    <row r="39" spans="2:4" ht="25.5">
      <c r="B39" s="492" t="s">
        <v>1050</v>
      </c>
      <c r="C39" s="444" t="s">
        <v>155</v>
      </c>
      <c r="D39" s="444" t="s">
        <v>5</v>
      </c>
    </row>
    <row r="40" spans="2:4" ht="25.5">
      <c r="B40" s="492" t="s">
        <v>1050</v>
      </c>
      <c r="C40" s="444" t="s">
        <v>154</v>
      </c>
      <c r="D40" s="444" t="s">
        <v>5</v>
      </c>
    </row>
    <row r="41" spans="2:4">
      <c r="B41" s="492" t="s">
        <v>1051</v>
      </c>
      <c r="C41" s="444" t="s">
        <v>249</v>
      </c>
      <c r="D41" s="444" t="s">
        <v>8</v>
      </c>
    </row>
    <row r="42" spans="2:4">
      <c r="B42" s="492" t="s">
        <v>864</v>
      </c>
      <c r="C42" s="444" t="s">
        <v>249</v>
      </c>
      <c r="D42" s="444" t="s">
        <v>8</v>
      </c>
    </row>
    <row r="43" spans="2:4">
      <c r="B43" s="492" t="s">
        <v>865</v>
      </c>
      <c r="C43" s="444" t="s">
        <v>274</v>
      </c>
      <c r="D43" s="444" t="s">
        <v>9</v>
      </c>
    </row>
    <row r="44" spans="2:4">
      <c r="B44" s="492" t="s">
        <v>865</v>
      </c>
      <c r="C44" s="444" t="s">
        <v>158</v>
      </c>
      <c r="D44" s="444" t="s">
        <v>6</v>
      </c>
    </row>
    <row r="45" spans="2:4">
      <c r="B45" s="492" t="s">
        <v>865</v>
      </c>
      <c r="C45" s="444" t="s">
        <v>249</v>
      </c>
      <c r="D45" s="444" t="s">
        <v>8</v>
      </c>
    </row>
    <row r="46" spans="2:4">
      <c r="B46" s="492" t="s">
        <v>866</v>
      </c>
      <c r="C46" s="444" t="s">
        <v>249</v>
      </c>
      <c r="D46" s="444" t="s">
        <v>8</v>
      </c>
    </row>
    <row r="47" spans="2:4">
      <c r="B47" s="492" t="s">
        <v>908</v>
      </c>
      <c r="C47" s="494" t="s">
        <v>856</v>
      </c>
      <c r="D47" s="444" t="s">
        <v>5</v>
      </c>
    </row>
    <row r="48" spans="2:4">
      <c r="B48" s="492" t="s">
        <v>875</v>
      </c>
      <c r="C48" s="494" t="s">
        <v>855</v>
      </c>
      <c r="D48" s="444" t="s">
        <v>5</v>
      </c>
    </row>
    <row r="49" spans="2:4">
      <c r="B49" s="492" t="s">
        <v>909</v>
      </c>
      <c r="C49" s="494" t="s">
        <v>855</v>
      </c>
      <c r="D49" s="444" t="s">
        <v>5</v>
      </c>
    </row>
    <row r="50" spans="2:4">
      <c r="B50" s="492" t="s">
        <v>910</v>
      </c>
      <c r="C50" s="494" t="s">
        <v>855</v>
      </c>
      <c r="D50" s="444" t="s">
        <v>5</v>
      </c>
    </row>
    <row r="51" spans="2:4">
      <c r="B51" s="492" t="s">
        <v>911</v>
      </c>
      <c r="C51" s="494" t="s">
        <v>855</v>
      </c>
      <c r="D51" s="444" t="s">
        <v>5</v>
      </c>
    </row>
    <row r="52" spans="2:4">
      <c r="B52" s="492" t="s">
        <v>912</v>
      </c>
      <c r="C52" s="494" t="s">
        <v>855</v>
      </c>
      <c r="D52" s="444" t="s">
        <v>5</v>
      </c>
    </row>
    <row r="53" spans="2:4">
      <c r="B53" s="492" t="s">
        <v>913</v>
      </c>
      <c r="C53" s="494" t="s">
        <v>855</v>
      </c>
      <c r="D53" s="444" t="s">
        <v>5</v>
      </c>
    </row>
    <row r="54" spans="2:4">
      <c r="B54" s="492" t="s">
        <v>914</v>
      </c>
      <c r="C54" s="444" t="s">
        <v>302</v>
      </c>
      <c r="D54" s="444" t="s">
        <v>5</v>
      </c>
    </row>
    <row r="55" spans="2:4">
      <c r="B55" s="492" t="s">
        <v>915</v>
      </c>
      <c r="C55" s="444" t="s">
        <v>302</v>
      </c>
      <c r="D55" s="444" t="s">
        <v>5</v>
      </c>
    </row>
    <row r="56" spans="2:4">
      <c r="B56" s="492" t="s">
        <v>916</v>
      </c>
      <c r="C56" s="444" t="s">
        <v>302</v>
      </c>
      <c r="D56" s="444" t="s">
        <v>5</v>
      </c>
    </row>
    <row r="57" spans="2:4">
      <c r="B57" s="492" t="s">
        <v>876</v>
      </c>
      <c r="C57" s="444" t="s">
        <v>302</v>
      </c>
      <c r="D57" s="444" t="s">
        <v>5</v>
      </c>
    </row>
    <row r="58" spans="2:4">
      <c r="B58" s="492" t="s">
        <v>876</v>
      </c>
      <c r="C58" s="444" t="s">
        <v>250</v>
      </c>
      <c r="D58" s="444" t="s">
        <v>5</v>
      </c>
    </row>
    <row r="59" spans="2:4">
      <c r="B59" s="492" t="s">
        <v>877</v>
      </c>
      <c r="C59" s="444" t="s">
        <v>302</v>
      </c>
      <c r="D59" s="444" t="s">
        <v>5</v>
      </c>
    </row>
    <row r="60" spans="2:4">
      <c r="B60" s="492" t="s">
        <v>877</v>
      </c>
      <c r="C60" s="444" t="s">
        <v>156</v>
      </c>
      <c r="D60" s="444" t="s">
        <v>9</v>
      </c>
    </row>
    <row r="61" spans="2:4">
      <c r="B61" s="492" t="s">
        <v>877</v>
      </c>
      <c r="C61" s="444" t="s">
        <v>151</v>
      </c>
      <c r="D61" s="444" t="s">
        <v>9</v>
      </c>
    </row>
    <row r="62" spans="2:4">
      <c r="B62" s="492" t="s">
        <v>877</v>
      </c>
      <c r="C62" s="444" t="s">
        <v>153</v>
      </c>
      <c r="D62" s="444" t="s">
        <v>6</v>
      </c>
    </row>
    <row r="63" spans="2:4">
      <c r="B63" s="492" t="s">
        <v>878</v>
      </c>
      <c r="C63" s="444" t="s">
        <v>302</v>
      </c>
      <c r="D63" s="444" t="s">
        <v>5</v>
      </c>
    </row>
    <row r="64" spans="2:4">
      <c r="B64" s="492" t="s">
        <v>878</v>
      </c>
      <c r="C64" s="495" t="s">
        <v>262</v>
      </c>
      <c r="D64" s="444" t="s">
        <v>5</v>
      </c>
    </row>
    <row r="65" spans="2:4">
      <c r="B65" s="492" t="s">
        <v>917</v>
      </c>
      <c r="C65" s="444" t="s">
        <v>825</v>
      </c>
      <c r="D65" s="444" t="s">
        <v>9</v>
      </c>
    </row>
    <row r="66" spans="2:4">
      <c r="B66" s="492" t="s">
        <v>917</v>
      </c>
      <c r="C66" s="494" t="s">
        <v>853</v>
      </c>
      <c r="D66" s="444" t="s">
        <v>6</v>
      </c>
    </row>
    <row r="67" spans="2:4">
      <c r="B67" s="492" t="s">
        <v>917</v>
      </c>
      <c r="C67" s="444" t="s">
        <v>828</v>
      </c>
      <c r="D67" s="444" t="s">
        <v>5</v>
      </c>
    </row>
    <row r="68" spans="2:4">
      <c r="B68" s="492" t="s">
        <v>917</v>
      </c>
      <c r="C68" s="444" t="s">
        <v>826</v>
      </c>
      <c r="D68" s="444" t="s">
        <v>5</v>
      </c>
    </row>
    <row r="69" spans="2:4">
      <c r="B69" s="492" t="s">
        <v>917</v>
      </c>
      <c r="C69" s="444" t="s">
        <v>829</v>
      </c>
      <c r="D69" s="444" t="s">
        <v>5</v>
      </c>
    </row>
    <row r="70" spans="2:4">
      <c r="B70" s="492" t="s">
        <v>917</v>
      </c>
      <c r="C70" s="444" t="s">
        <v>827</v>
      </c>
      <c r="D70" s="444" t="s">
        <v>5</v>
      </c>
    </row>
    <row r="71" spans="2:4">
      <c r="B71" s="492" t="s">
        <v>917</v>
      </c>
      <c r="C71" s="444" t="s">
        <v>830</v>
      </c>
      <c r="D71" s="444" t="s">
        <v>5</v>
      </c>
    </row>
    <row r="72" spans="2:4">
      <c r="B72" s="492" t="s">
        <v>917</v>
      </c>
      <c r="C72" s="444" t="s">
        <v>842</v>
      </c>
      <c r="D72" s="444" t="s">
        <v>5</v>
      </c>
    </row>
    <row r="73" spans="2:4">
      <c r="B73" s="492" t="s">
        <v>917</v>
      </c>
      <c r="C73" s="444" t="s">
        <v>854</v>
      </c>
      <c r="D73" s="444" t="s">
        <v>6</v>
      </c>
    </row>
    <row r="74" spans="2:4">
      <c r="B74" s="492" t="s">
        <v>917</v>
      </c>
      <c r="C74" s="444" t="s">
        <v>843</v>
      </c>
      <c r="D74" s="444" t="s">
        <v>6</v>
      </c>
    </row>
    <row r="75" spans="2:4">
      <c r="B75" s="492" t="s">
        <v>917</v>
      </c>
      <c r="C75" s="444" t="s">
        <v>831</v>
      </c>
      <c r="D75" s="444" t="s">
        <v>5</v>
      </c>
    </row>
    <row r="76" spans="2:4">
      <c r="B76" s="492" t="s">
        <v>918</v>
      </c>
      <c r="C76" s="444" t="s">
        <v>262</v>
      </c>
      <c r="D76" s="444" t="s">
        <v>5</v>
      </c>
    </row>
    <row r="77" spans="2:4">
      <c r="B77" s="492" t="s">
        <v>918</v>
      </c>
      <c r="C77" s="444" t="s">
        <v>263</v>
      </c>
      <c r="D77" s="444" t="s">
        <v>5</v>
      </c>
    </row>
    <row r="78" spans="2:4">
      <c r="B78" s="492" t="s">
        <v>919</v>
      </c>
      <c r="C78" s="444" t="s">
        <v>262</v>
      </c>
      <c r="D78" s="444" t="s">
        <v>5</v>
      </c>
    </row>
    <row r="79" spans="2:4">
      <c r="B79" s="492" t="s">
        <v>919</v>
      </c>
      <c r="C79" s="444" t="s">
        <v>263</v>
      </c>
      <c r="D79" s="444" t="s">
        <v>5</v>
      </c>
    </row>
    <row r="80" spans="2:4">
      <c r="B80" s="492" t="s">
        <v>920</v>
      </c>
      <c r="C80" s="444" t="s">
        <v>262</v>
      </c>
      <c r="D80" s="444" t="s">
        <v>5</v>
      </c>
    </row>
    <row r="81" spans="2:4">
      <c r="B81" s="492" t="s">
        <v>920</v>
      </c>
      <c r="C81" s="444" t="s">
        <v>263</v>
      </c>
      <c r="D81" s="444" t="s">
        <v>5</v>
      </c>
    </row>
    <row r="82" spans="2:4">
      <c r="B82" s="492" t="s">
        <v>867</v>
      </c>
      <c r="C82" s="444" t="s">
        <v>262</v>
      </c>
      <c r="D82" s="444" t="s">
        <v>5</v>
      </c>
    </row>
    <row r="83" spans="2:4">
      <c r="B83" s="492" t="s">
        <v>867</v>
      </c>
      <c r="C83" s="444" t="s">
        <v>263</v>
      </c>
      <c r="D83" s="444" t="s">
        <v>5</v>
      </c>
    </row>
    <row r="84" spans="2:4">
      <c r="B84" s="492" t="s">
        <v>921</v>
      </c>
      <c r="C84" s="444" t="s">
        <v>262</v>
      </c>
      <c r="D84" s="444" t="s">
        <v>5</v>
      </c>
    </row>
    <row r="85" spans="2:4">
      <c r="B85" s="492" t="s">
        <v>921</v>
      </c>
      <c r="C85" s="444" t="s">
        <v>263</v>
      </c>
      <c r="D85" s="444" t="s">
        <v>5</v>
      </c>
    </row>
    <row r="86" spans="2:4">
      <c r="B86" s="492" t="s">
        <v>922</v>
      </c>
      <c r="C86" s="444" t="s">
        <v>264</v>
      </c>
      <c r="D86" s="444" t="s">
        <v>9</v>
      </c>
    </row>
    <row r="87" spans="2:4">
      <c r="B87" s="492" t="s">
        <v>923</v>
      </c>
      <c r="C87" s="444" t="s">
        <v>262</v>
      </c>
      <c r="D87" s="444" t="s">
        <v>5</v>
      </c>
    </row>
    <row r="88" spans="2:4">
      <c r="B88" s="492" t="s">
        <v>924</v>
      </c>
      <c r="C88" s="444" t="s">
        <v>262</v>
      </c>
      <c r="D88" s="444" t="s">
        <v>5</v>
      </c>
    </row>
    <row r="89" spans="2:4">
      <c r="B89" s="492" t="s">
        <v>923</v>
      </c>
      <c r="C89" s="444" t="s">
        <v>263</v>
      </c>
      <c r="D89" s="444" t="s">
        <v>5</v>
      </c>
    </row>
    <row r="90" spans="2:4">
      <c r="B90" s="492" t="s">
        <v>924</v>
      </c>
      <c r="C90" s="444" t="s">
        <v>263</v>
      </c>
      <c r="D90" s="444" t="s">
        <v>5</v>
      </c>
    </row>
    <row r="91" spans="2:4">
      <c r="B91" s="492" t="s">
        <v>13</v>
      </c>
      <c r="C91" s="444" t="s">
        <v>248</v>
      </c>
      <c r="D91" s="444" t="s">
        <v>6</v>
      </c>
    </row>
    <row r="92" spans="2:4">
      <c r="B92" s="492" t="s">
        <v>925</v>
      </c>
      <c r="C92" s="444" t="s">
        <v>248</v>
      </c>
      <c r="D92" s="444" t="s">
        <v>6</v>
      </c>
    </row>
    <row r="93" spans="2:4">
      <c r="B93" s="492" t="s">
        <v>926</v>
      </c>
      <c r="C93" s="444" t="s">
        <v>248</v>
      </c>
      <c r="D93" s="444" t="s">
        <v>6</v>
      </c>
    </row>
    <row r="94" spans="2:4">
      <c r="B94" s="492" t="s">
        <v>1052</v>
      </c>
      <c r="C94" s="495" t="s">
        <v>298</v>
      </c>
      <c r="D94" s="444" t="s">
        <v>5</v>
      </c>
    </row>
    <row r="95" spans="2:4">
      <c r="B95" s="492" t="s">
        <v>927</v>
      </c>
      <c r="C95" s="444" t="s">
        <v>248</v>
      </c>
      <c r="D95" s="444" t="s">
        <v>6</v>
      </c>
    </row>
    <row r="96" spans="2:4">
      <c r="B96" s="492" t="s">
        <v>928</v>
      </c>
      <c r="C96" s="495" t="s">
        <v>1047</v>
      </c>
      <c r="D96" s="444" t="s">
        <v>8</v>
      </c>
    </row>
    <row r="97" spans="2:4">
      <c r="B97" s="492" t="s">
        <v>929</v>
      </c>
      <c r="C97" s="495" t="s">
        <v>1047</v>
      </c>
      <c r="D97" s="444" t="s">
        <v>8</v>
      </c>
    </row>
    <row r="98" spans="2:4">
      <c r="B98" s="492" t="s">
        <v>136</v>
      </c>
      <c r="C98" s="444" t="s">
        <v>273</v>
      </c>
      <c r="D98" s="444" t="s">
        <v>9</v>
      </c>
    </row>
    <row r="99" spans="2:4">
      <c r="B99" s="492" t="s">
        <v>868</v>
      </c>
      <c r="C99" s="444" t="s">
        <v>273</v>
      </c>
      <c r="D99" s="444" t="s">
        <v>9</v>
      </c>
    </row>
    <row r="100" spans="2:4">
      <c r="B100" s="492" t="s">
        <v>39</v>
      </c>
      <c r="C100" s="444" t="s">
        <v>272</v>
      </c>
      <c r="D100" s="444" t="s">
        <v>9</v>
      </c>
    </row>
    <row r="101" spans="2:4">
      <c r="B101" s="492" t="s">
        <v>930</v>
      </c>
      <c r="C101" s="444" t="s">
        <v>273</v>
      </c>
      <c r="D101" s="444" t="s">
        <v>9</v>
      </c>
    </row>
    <row r="102" spans="2:4">
      <c r="B102" s="492" t="s">
        <v>869</v>
      </c>
      <c r="C102" s="496" t="s">
        <v>861</v>
      </c>
      <c r="D102" s="444" t="s">
        <v>9</v>
      </c>
    </row>
    <row r="103" spans="2:4">
      <c r="B103" s="492" t="s">
        <v>870</v>
      </c>
      <c r="C103" s="444" t="s">
        <v>272</v>
      </c>
      <c r="D103" s="444" t="s">
        <v>9</v>
      </c>
    </row>
    <row r="104" spans="2:4">
      <c r="B104" s="492" t="s">
        <v>870</v>
      </c>
      <c r="C104" s="444" t="s">
        <v>273</v>
      </c>
      <c r="D104" s="444" t="s">
        <v>9</v>
      </c>
    </row>
    <row r="105" spans="2:4">
      <c r="B105" s="492" t="s">
        <v>871</v>
      </c>
      <c r="C105" s="444" t="s">
        <v>852</v>
      </c>
      <c r="D105" s="444" t="s">
        <v>9</v>
      </c>
    </row>
    <row r="106" spans="2:4">
      <c r="B106" s="492" t="s">
        <v>931</v>
      </c>
      <c r="C106" s="444" t="s">
        <v>852</v>
      </c>
      <c r="D106" s="444" t="s">
        <v>9</v>
      </c>
    </row>
    <row r="107" spans="2:4">
      <c r="B107" s="492" t="s">
        <v>932</v>
      </c>
      <c r="C107" s="444" t="s">
        <v>852</v>
      </c>
      <c r="D107" s="444" t="s">
        <v>9</v>
      </c>
    </row>
    <row r="108" spans="2:4">
      <c r="B108" s="492" t="s">
        <v>933</v>
      </c>
      <c r="C108" s="444" t="s">
        <v>852</v>
      </c>
      <c r="D108" s="444" t="s">
        <v>9</v>
      </c>
    </row>
    <row r="109" spans="2:4">
      <c r="B109" s="492" t="s">
        <v>872</v>
      </c>
      <c r="C109" s="444" t="s">
        <v>852</v>
      </c>
      <c r="D109" s="444" t="s">
        <v>9</v>
      </c>
    </row>
    <row r="110" spans="2:4">
      <c r="B110" s="492" t="s">
        <v>934</v>
      </c>
      <c r="C110" s="444" t="s">
        <v>857</v>
      </c>
      <c r="D110" s="444" t="s">
        <v>9</v>
      </c>
    </row>
    <row r="111" spans="2:4">
      <c r="B111" s="492" t="s">
        <v>935</v>
      </c>
      <c r="C111" s="444" t="s">
        <v>857</v>
      </c>
      <c r="D111" s="444" t="s">
        <v>9</v>
      </c>
    </row>
    <row r="112" spans="2:4">
      <c r="B112" s="492" t="s">
        <v>936</v>
      </c>
      <c r="C112" s="444" t="s">
        <v>857</v>
      </c>
      <c r="D112" s="444" t="s">
        <v>9</v>
      </c>
    </row>
    <row r="113" spans="2:4">
      <c r="B113" s="492" t="s">
        <v>937</v>
      </c>
      <c r="C113" s="494" t="s">
        <v>858</v>
      </c>
      <c r="D113" s="444" t="s">
        <v>9</v>
      </c>
    </row>
    <row r="114" spans="2:4">
      <c r="B114" s="492" t="s">
        <v>873</v>
      </c>
      <c r="C114" s="444" t="s">
        <v>852</v>
      </c>
      <c r="D114" s="444" t="s">
        <v>9</v>
      </c>
    </row>
    <row r="115" spans="2:4">
      <c r="B115" s="492" t="s">
        <v>874</v>
      </c>
      <c r="C115" s="444" t="s">
        <v>852</v>
      </c>
      <c r="D115" s="444" t="s">
        <v>9</v>
      </c>
    </row>
    <row r="116" spans="2:4">
      <c r="B116" s="492" t="s">
        <v>874</v>
      </c>
      <c r="C116" s="495" t="s">
        <v>159</v>
      </c>
      <c r="D116" s="459" t="s">
        <v>5</v>
      </c>
    </row>
    <row r="117" spans="2:4">
      <c r="B117" s="492" t="s">
        <v>938</v>
      </c>
      <c r="C117" s="444" t="s">
        <v>1053</v>
      </c>
      <c r="D117" s="443"/>
    </row>
    <row r="118" spans="2:4">
      <c r="B118" s="492" t="s">
        <v>939</v>
      </c>
      <c r="C118" s="495" t="s">
        <v>159</v>
      </c>
      <c r="D118" s="459" t="s">
        <v>5</v>
      </c>
    </row>
    <row r="119" spans="2:4">
      <c r="B119" s="492" t="s">
        <v>1054</v>
      </c>
      <c r="C119" s="444" t="s">
        <v>298</v>
      </c>
      <c r="D119" s="444" t="s">
        <v>5</v>
      </c>
    </row>
    <row r="120" spans="2:4">
      <c r="B120" s="492" t="s">
        <v>940</v>
      </c>
      <c r="C120" s="495" t="s">
        <v>301</v>
      </c>
      <c r="D120" s="444" t="s">
        <v>6</v>
      </c>
    </row>
    <row r="121" spans="2:4">
      <c r="B121" s="492" t="s">
        <v>1055</v>
      </c>
      <c r="C121" s="444" t="s">
        <v>298</v>
      </c>
      <c r="D121" s="444" t="s">
        <v>5</v>
      </c>
    </row>
    <row r="122" spans="2:4">
      <c r="B122" s="492" t="s">
        <v>879</v>
      </c>
      <c r="C122" s="495" t="s">
        <v>301</v>
      </c>
      <c r="D122" s="444" t="s">
        <v>6</v>
      </c>
    </row>
    <row r="123" spans="2:4">
      <c r="B123" s="492" t="s">
        <v>941</v>
      </c>
      <c r="C123" s="444" t="s">
        <v>298</v>
      </c>
      <c r="D123" s="444" t="s">
        <v>5</v>
      </c>
    </row>
    <row r="124" spans="2:4">
      <c r="B124" s="492" t="s">
        <v>942</v>
      </c>
      <c r="C124" s="444" t="s">
        <v>298</v>
      </c>
      <c r="D124" s="444" t="s">
        <v>5</v>
      </c>
    </row>
    <row r="125" spans="2:4">
      <c r="B125" s="492" t="s">
        <v>880</v>
      </c>
      <c r="C125" s="444" t="s">
        <v>298</v>
      </c>
      <c r="D125" s="444" t="s">
        <v>5</v>
      </c>
    </row>
    <row r="126" spans="2:4">
      <c r="B126" s="492" t="s">
        <v>943</v>
      </c>
      <c r="C126" s="444" t="s">
        <v>298</v>
      </c>
      <c r="D126" s="444" t="s">
        <v>5</v>
      </c>
    </row>
    <row r="127" spans="2:4">
      <c r="B127" s="492" t="s">
        <v>944</v>
      </c>
      <c r="C127" s="444" t="s">
        <v>298</v>
      </c>
      <c r="D127" s="444" t="s">
        <v>5</v>
      </c>
    </row>
    <row r="128" spans="2:4">
      <c r="B128" s="492" t="s">
        <v>114</v>
      </c>
      <c r="C128" s="444" t="s">
        <v>299</v>
      </c>
      <c r="D128" s="444" t="s">
        <v>9</v>
      </c>
    </row>
    <row r="129" spans="2:4">
      <c r="B129" s="492" t="s">
        <v>945</v>
      </c>
      <c r="C129" s="444" t="s">
        <v>301</v>
      </c>
      <c r="D129" s="444" t="s">
        <v>6</v>
      </c>
    </row>
    <row r="130" spans="2:4">
      <c r="B130" s="492" t="s">
        <v>946</v>
      </c>
      <c r="C130" s="444" t="s">
        <v>301</v>
      </c>
      <c r="D130" s="444" t="s">
        <v>6</v>
      </c>
    </row>
    <row r="131" spans="2:4">
      <c r="B131" s="492" t="s">
        <v>947</v>
      </c>
      <c r="C131" s="444" t="s">
        <v>301</v>
      </c>
      <c r="D131" s="444" t="s">
        <v>6</v>
      </c>
    </row>
    <row r="132" spans="2:4">
      <c r="B132" s="492" t="s">
        <v>948</v>
      </c>
      <c r="C132" s="444" t="s">
        <v>301</v>
      </c>
      <c r="D132" s="444" t="s">
        <v>6</v>
      </c>
    </row>
    <row r="133" spans="2:4">
      <c r="B133" s="492" t="s">
        <v>948</v>
      </c>
      <c r="C133" s="444" t="s">
        <v>301</v>
      </c>
      <c r="D133" s="444" t="s">
        <v>6</v>
      </c>
    </row>
    <row r="134" spans="2:4">
      <c r="B134" s="492" t="s">
        <v>948</v>
      </c>
      <c r="C134" s="444" t="s">
        <v>301</v>
      </c>
      <c r="D134" s="444" t="s">
        <v>6</v>
      </c>
    </row>
    <row r="135" spans="2:4">
      <c r="B135" s="492" t="s">
        <v>948</v>
      </c>
      <c r="C135" s="444" t="s">
        <v>301</v>
      </c>
      <c r="D135" s="444" t="s">
        <v>6</v>
      </c>
    </row>
    <row r="136" spans="2:4">
      <c r="B136" s="492" t="s">
        <v>948</v>
      </c>
      <c r="C136" s="444" t="s">
        <v>301</v>
      </c>
      <c r="D136" s="444" t="s">
        <v>6</v>
      </c>
    </row>
    <row r="137" spans="2:4">
      <c r="B137" s="492" t="s">
        <v>948</v>
      </c>
      <c r="C137" s="444" t="s">
        <v>301</v>
      </c>
      <c r="D137" s="444" t="s">
        <v>6</v>
      </c>
    </row>
    <row r="138" spans="2:4">
      <c r="B138" s="492" t="s">
        <v>881</v>
      </c>
      <c r="C138" s="444" t="s">
        <v>288</v>
      </c>
      <c r="D138" s="444" t="s">
        <v>8</v>
      </c>
    </row>
    <row r="139" spans="2:4">
      <c r="B139" s="492" t="s">
        <v>949</v>
      </c>
      <c r="C139" s="444" t="s">
        <v>288</v>
      </c>
      <c r="D139" s="444" t="s">
        <v>8</v>
      </c>
    </row>
    <row r="140" spans="2:4">
      <c r="B140" s="492" t="s">
        <v>882</v>
      </c>
      <c r="C140" s="444" t="s">
        <v>288</v>
      </c>
      <c r="D140" s="444" t="s">
        <v>8</v>
      </c>
    </row>
    <row r="141" spans="2:4">
      <c r="B141" s="492" t="s">
        <v>950</v>
      </c>
      <c r="C141" s="444" t="s">
        <v>281</v>
      </c>
      <c r="D141" s="444" t="s">
        <v>7</v>
      </c>
    </row>
    <row r="142" spans="2:4">
      <c r="B142" s="492" t="s">
        <v>951</v>
      </c>
      <c r="C142" s="444" t="s">
        <v>379</v>
      </c>
      <c r="D142" s="444" t="s">
        <v>8</v>
      </c>
    </row>
    <row r="143" spans="2:4">
      <c r="B143" s="492" t="s">
        <v>952</v>
      </c>
      <c r="C143" s="444" t="s">
        <v>276</v>
      </c>
      <c r="D143" s="444" t="s">
        <v>8</v>
      </c>
    </row>
    <row r="144" spans="2:4">
      <c r="B144" s="492" t="s">
        <v>953</v>
      </c>
      <c r="C144" s="444" t="s">
        <v>249</v>
      </c>
      <c r="D144" s="444" t="s">
        <v>8</v>
      </c>
    </row>
    <row r="145" spans="2:4">
      <c r="B145" s="492" t="s">
        <v>954</v>
      </c>
      <c r="C145" s="495" t="s">
        <v>1047</v>
      </c>
      <c r="D145" s="444" t="s">
        <v>8</v>
      </c>
    </row>
    <row r="146" spans="2:4">
      <c r="B146" s="492" t="s">
        <v>231</v>
      </c>
      <c r="C146" s="444" t="s">
        <v>294</v>
      </c>
      <c r="D146" s="444" t="s">
        <v>8</v>
      </c>
    </row>
    <row r="147" spans="2:4">
      <c r="B147" s="492" t="s">
        <v>883</v>
      </c>
      <c r="C147" s="444" t="s">
        <v>282</v>
      </c>
      <c r="D147" s="444" t="s">
        <v>7</v>
      </c>
    </row>
    <row r="148" spans="2:4">
      <c r="B148" s="492" t="s">
        <v>884</v>
      </c>
      <c r="C148" s="444" t="s">
        <v>282</v>
      </c>
      <c r="D148" s="444" t="s">
        <v>7</v>
      </c>
    </row>
    <row r="149" spans="2:4">
      <c r="B149" s="492" t="s">
        <v>885</v>
      </c>
      <c r="C149" s="444" t="s">
        <v>280</v>
      </c>
      <c r="D149" s="444" t="s">
        <v>7</v>
      </c>
    </row>
    <row r="150" spans="2:4">
      <c r="B150" s="492" t="s">
        <v>955</v>
      </c>
      <c r="C150" s="444" t="s">
        <v>280</v>
      </c>
      <c r="D150" s="444" t="s">
        <v>7</v>
      </c>
    </row>
    <row r="151" spans="2:4">
      <c r="B151" s="492" t="s">
        <v>956</v>
      </c>
      <c r="C151" s="444" t="s">
        <v>280</v>
      </c>
      <c r="D151" s="444" t="s">
        <v>7</v>
      </c>
    </row>
    <row r="152" spans="2:4">
      <c r="B152" s="492" t="s">
        <v>886</v>
      </c>
      <c r="C152" s="444" t="s">
        <v>280</v>
      </c>
      <c r="D152" s="444" t="s">
        <v>7</v>
      </c>
    </row>
    <row r="153" spans="2:4">
      <c r="B153" s="492" t="s">
        <v>887</v>
      </c>
      <c r="C153" s="444" t="s">
        <v>285</v>
      </c>
      <c r="D153" s="444" t="s">
        <v>8</v>
      </c>
    </row>
    <row r="154" spans="2:4"/>
    <row r="155" spans="2:4"/>
    <row r="156" spans="2:4"/>
    <row r="157" spans="2:4">
      <c r="B157" s="446"/>
      <c r="C157" s="446"/>
    </row>
    <row r="158" spans="2:4">
      <c r="B158" s="489"/>
      <c r="C158" s="446"/>
    </row>
    <row r="159" spans="2:4">
      <c r="B159" s="489"/>
      <c r="C159" s="446"/>
    </row>
    <row r="160" spans="2:4">
      <c r="B160" s="489"/>
      <c r="C160" s="446"/>
    </row>
    <row r="161" spans="2:3">
      <c r="B161" s="489"/>
      <c r="C161" s="446"/>
    </row>
    <row r="162" spans="2:3">
      <c r="B162" s="489"/>
      <c r="C162" s="446"/>
    </row>
    <row r="163" spans="2:3">
      <c r="B163" s="489"/>
      <c r="C163" s="446"/>
    </row>
    <row r="164" spans="2:3" hidden="1">
      <c r="B164" s="489"/>
      <c r="C164" s="446"/>
    </row>
    <row r="165" spans="2:3" hidden="1">
      <c r="B165" s="489"/>
      <c r="C165" s="446"/>
    </row>
    <row r="166" spans="2:3" hidden="1">
      <c r="B166" s="489"/>
      <c r="C166" s="446"/>
    </row>
    <row r="167" spans="2:3" hidden="1">
      <c r="B167" s="489"/>
      <c r="C167" s="446"/>
    </row>
    <row r="168" spans="2:3" hidden="1">
      <c r="B168" s="489"/>
      <c r="C168" s="446"/>
    </row>
    <row r="169" spans="2:3" hidden="1">
      <c r="B169" s="489"/>
      <c r="C169" s="446"/>
    </row>
    <row r="170" spans="2:3" hidden="1">
      <c r="B170" s="489"/>
      <c r="C170" s="446"/>
    </row>
    <row r="171" spans="2:3" hidden="1">
      <c r="B171" s="489"/>
      <c r="C171" s="446"/>
    </row>
    <row r="172" spans="2:3" hidden="1">
      <c r="B172" s="489"/>
      <c r="C172" s="446"/>
    </row>
    <row r="173" spans="2:3" hidden="1">
      <c r="B173" s="489"/>
      <c r="C173" s="446"/>
    </row>
    <row r="174" spans="2:3" hidden="1">
      <c r="B174" s="489"/>
      <c r="C174" s="446"/>
    </row>
    <row r="175" spans="2:3" hidden="1">
      <c r="B175" s="489"/>
      <c r="C175" s="446"/>
    </row>
    <row r="176" spans="2:3" hidden="1">
      <c r="B176" s="489"/>
      <c r="C176" s="446"/>
    </row>
    <row r="177" spans="2:3" hidden="1">
      <c r="B177" s="489"/>
      <c r="C177" s="446"/>
    </row>
    <row r="178" spans="2:3" hidden="1">
      <c r="B178" s="489"/>
      <c r="C178" s="446"/>
    </row>
    <row r="179" spans="2:3" hidden="1">
      <c r="B179" s="489"/>
      <c r="C179" s="446"/>
    </row>
    <row r="180" spans="2:3" hidden="1">
      <c r="B180" s="489"/>
      <c r="C180" s="446"/>
    </row>
    <row r="181" spans="2:3" hidden="1">
      <c r="B181" s="489"/>
      <c r="C181" s="446"/>
    </row>
    <row r="182" spans="2:3" hidden="1">
      <c r="B182" s="489"/>
      <c r="C182" s="446"/>
    </row>
    <row r="183" spans="2:3" hidden="1">
      <c r="B183" s="489"/>
      <c r="C183" s="446"/>
    </row>
    <row r="184" spans="2:3" hidden="1">
      <c r="B184" s="489"/>
      <c r="C184" s="446"/>
    </row>
    <row r="185" spans="2:3" hidden="1">
      <c r="B185" s="489"/>
      <c r="C185" s="446"/>
    </row>
    <row r="186" spans="2:3" hidden="1">
      <c r="B186" s="489"/>
      <c r="C186" s="446"/>
    </row>
    <row r="187" spans="2:3" hidden="1">
      <c r="B187" s="489"/>
      <c r="C187" s="446"/>
    </row>
    <row r="188" spans="2:3" hidden="1">
      <c r="B188" s="489"/>
      <c r="C188" s="446"/>
    </row>
    <row r="189" spans="2:3" hidden="1">
      <c r="B189" s="489"/>
      <c r="C189" s="446"/>
    </row>
    <row r="190" spans="2:3" hidden="1">
      <c r="B190" s="489"/>
      <c r="C190" s="446"/>
    </row>
    <row r="191" spans="2:3" hidden="1">
      <c r="B191" s="489"/>
      <c r="C191" s="446"/>
    </row>
    <row r="192" spans="2:3" hidden="1">
      <c r="B192" s="489"/>
      <c r="C192" s="446"/>
    </row>
    <row r="193" spans="2:3" hidden="1">
      <c r="B193" s="489"/>
      <c r="C193" s="446"/>
    </row>
    <row r="194" spans="2:3" hidden="1">
      <c r="B194" s="489"/>
      <c r="C194" s="446"/>
    </row>
    <row r="195" spans="2:3" hidden="1">
      <c r="B195" s="489"/>
      <c r="C195" s="446"/>
    </row>
    <row r="196" spans="2:3" hidden="1">
      <c r="B196" s="489"/>
      <c r="C196" s="446"/>
    </row>
    <row r="197" spans="2:3" hidden="1">
      <c r="B197" s="489"/>
      <c r="C197" s="446"/>
    </row>
    <row r="198" spans="2:3" hidden="1">
      <c r="B198" s="489"/>
      <c r="C198" s="446"/>
    </row>
    <row r="199" spans="2:3" hidden="1">
      <c r="B199" s="489"/>
      <c r="C199" s="446"/>
    </row>
    <row r="200" spans="2:3" hidden="1">
      <c r="B200" s="489"/>
      <c r="C200" s="446"/>
    </row>
    <row r="201" spans="2:3" hidden="1">
      <c r="B201" s="489"/>
      <c r="C201" s="446"/>
    </row>
    <row r="202" spans="2:3" hidden="1">
      <c r="B202" s="489"/>
      <c r="C202" s="446"/>
    </row>
    <row r="203" spans="2:3" hidden="1">
      <c r="B203" s="489"/>
      <c r="C203" s="446"/>
    </row>
    <row r="204" spans="2:3" hidden="1">
      <c r="B204" s="489"/>
      <c r="C204" s="446"/>
    </row>
    <row r="205" spans="2:3" hidden="1">
      <c r="B205" s="489"/>
      <c r="C205" s="446"/>
    </row>
    <row r="206" spans="2:3" hidden="1">
      <c r="B206" s="489"/>
      <c r="C206" s="446"/>
    </row>
    <row r="207" spans="2:3" hidden="1">
      <c r="B207" s="489"/>
      <c r="C207" s="446"/>
    </row>
    <row r="208" spans="2:3" hidden="1">
      <c r="B208" s="489"/>
      <c r="C208" s="446"/>
    </row>
    <row r="209" spans="2:3" hidden="1">
      <c r="B209" s="489"/>
      <c r="C209" s="446"/>
    </row>
    <row r="210" spans="2:3" hidden="1">
      <c r="B210" s="489"/>
      <c r="C210" s="446"/>
    </row>
    <row r="211" spans="2:3" hidden="1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249977111117893"/>
  </sheetPr>
  <dimension ref="A1:R52"/>
  <sheetViews>
    <sheetView showGridLines="0" showRowColHeaders="0" zoomScaleNormal="100" workbookViewId="0"/>
  </sheetViews>
  <sheetFormatPr defaultColWidth="9.140625" defaultRowHeight="14.45" customHeight="1" zeroHeight="1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>
      <c r="B2" s="16"/>
      <c r="C2" s="16"/>
      <c r="E2" s="17"/>
    </row>
    <row r="3" spans="1:18" ht="15.75" customHeight="1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>
      <c r="B11" s="16"/>
      <c r="C11" s="16"/>
    </row>
    <row r="12" spans="1:18" ht="16.5" customHeight="1">
      <c r="B12" s="16"/>
      <c r="C12" s="16"/>
    </row>
    <row r="13" spans="1:18" ht="16.5" customHeight="1">
      <c r="B13" s="16"/>
      <c r="C13" s="16"/>
    </row>
    <row r="14" spans="1:18" ht="16.5" customHeight="1">
      <c r="B14" s="16"/>
      <c r="C14" s="16"/>
    </row>
    <row r="15" spans="1:18" ht="16.5" customHeight="1">
      <c r="B15" s="16"/>
      <c r="C15" s="1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/>
  <cols>
    <col min="1" max="1" width="41.28515625" style="437" customWidth="1"/>
    <col min="2" max="2" width="56.42578125" style="437" bestFit="1" customWidth="1"/>
    <col min="3" max="3" width="9.140625" style="437"/>
    <col min="4" max="4" width="48.85546875" style="437" customWidth="1"/>
    <col min="5" max="16384" width="9.140625" style="437"/>
  </cols>
  <sheetData>
    <row r="1" spans="1:4" s="438" customFormat="1">
      <c r="A1" s="497" t="s">
        <v>759</v>
      </c>
      <c r="B1" s="498" t="s">
        <v>760</v>
      </c>
      <c r="D1" s="445" t="s">
        <v>1350</v>
      </c>
    </row>
    <row r="2" spans="1:4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>
      <c r="A17" s="443" t="s">
        <v>397</v>
      </c>
      <c r="D17" s="443" t="str">
        <f>'G-1 All Habitats'!B18</f>
        <v>Grassland - Lowland dry acid grassland</v>
      </c>
    </row>
    <row r="18" spans="1:4">
      <c r="A18" s="443" t="s">
        <v>398</v>
      </c>
      <c r="D18" s="443" t="str">
        <f>'G-1 All Habitats'!B19</f>
        <v>Grassland - Lowland meadows</v>
      </c>
    </row>
    <row r="19" spans="1:4">
      <c r="A19" s="443" t="s">
        <v>399</v>
      </c>
      <c r="D19" s="443" t="str">
        <f>'G-1 All Habitats'!B20</f>
        <v>Grassland - Modified grassland</v>
      </c>
    </row>
    <row r="20" spans="1:4">
      <c r="A20" s="443" t="s">
        <v>400</v>
      </c>
      <c r="D20" s="443" t="str">
        <f>'G-1 All Habitats'!B21</f>
        <v>Grassland - Other lowland acid grassland</v>
      </c>
    </row>
    <row r="21" spans="1:4">
      <c r="A21" s="443" t="s">
        <v>401</v>
      </c>
      <c r="D21" s="443" t="str">
        <f>'G-1 All Habitats'!B22</f>
        <v>Grassland - Other neutral grassland</v>
      </c>
    </row>
    <row r="22" spans="1:4">
      <c r="A22" s="443" t="s">
        <v>402</v>
      </c>
      <c r="D22" s="443" t="str">
        <f>'G-1 All Habitats'!B23</f>
        <v>Grassland - Tall herb communities</v>
      </c>
    </row>
    <row r="23" spans="1:4">
      <c r="A23" s="443" t="s">
        <v>403</v>
      </c>
      <c r="D23" s="443" t="str">
        <f>'G-1 All Habitats'!B24</f>
        <v>Grassland - Upland acid grassland</v>
      </c>
    </row>
    <row r="24" spans="1:4">
      <c r="A24" s="443" t="s">
        <v>404</v>
      </c>
      <c r="D24" s="443" t="str">
        <f>'G-1 All Habitats'!B25</f>
        <v>Grassland - Upland calcareous grassland</v>
      </c>
    </row>
    <row r="25" spans="1:4">
      <c r="A25" s="443" t="s">
        <v>405</v>
      </c>
      <c r="D25" s="443" t="str">
        <f>'G-1 All Habitats'!B26</f>
        <v>Grassland - Upland hay meadows</v>
      </c>
    </row>
    <row r="26" spans="1:4">
      <c r="A26" s="443" t="s">
        <v>406</v>
      </c>
      <c r="D26" s="443" t="str">
        <f>'G-1 All Habitats'!B27</f>
        <v>Heathland and shrub - Blackthorn scrub</v>
      </c>
    </row>
    <row r="27" spans="1:4">
      <c r="A27" s="443" t="s">
        <v>407</v>
      </c>
      <c r="D27" s="443" t="str">
        <f>'G-1 All Habitats'!B28</f>
        <v>Heathland and shrub - Bramble scrub</v>
      </c>
    </row>
    <row r="28" spans="1:4">
      <c r="A28" s="443" t="s">
        <v>408</v>
      </c>
      <c r="D28" s="443" t="str">
        <f>'G-1 All Habitats'!B29</f>
        <v>Heathland and shrub - Gorse scrub</v>
      </c>
    </row>
    <row r="29" spans="1:4">
      <c r="A29" s="443" t="s">
        <v>409</v>
      </c>
      <c r="D29" s="443" t="str">
        <f>'G-1 All Habitats'!B30</f>
        <v>Heathland and shrub - Hawthorn scrub</v>
      </c>
    </row>
    <row r="30" spans="1:4">
      <c r="A30" s="443" t="s">
        <v>410</v>
      </c>
      <c r="D30" s="443" t="str">
        <f>'G-1 All Habitats'!B31</f>
        <v>Heathland and shrub - Hazel scrub</v>
      </c>
    </row>
    <row r="31" spans="1:4">
      <c r="A31" s="443" t="s">
        <v>411</v>
      </c>
      <c r="D31" s="443" t="str">
        <f>'G-1 All Habitats'!B32</f>
        <v>Heathland and shrub - Lowland Heathland</v>
      </c>
    </row>
    <row r="32" spans="1:4">
      <c r="A32" s="443" t="s">
        <v>412</v>
      </c>
      <c r="D32" s="443" t="str">
        <f>'G-1 All Habitats'!B33</f>
        <v>Heathland and shrub - Mixed scrub</v>
      </c>
    </row>
    <row r="33" spans="1:4">
      <c r="A33" s="443" t="s">
        <v>413</v>
      </c>
      <c r="D33" s="443" t="str">
        <f>'G-1 All Habitats'!B34</f>
        <v>Heathland and shrub - Mountain heaths and willow scrub</v>
      </c>
    </row>
    <row r="34" spans="1:4">
      <c r="A34" s="443" t="s">
        <v>414</v>
      </c>
      <c r="D34" s="443" t="str">
        <f>'G-1 All Habitats'!B35</f>
        <v>Heathland and shrub - Rhododendron scrub</v>
      </c>
    </row>
    <row r="35" spans="1:4">
      <c r="A35" s="443" t="s">
        <v>415</v>
      </c>
      <c r="D35" s="443" t="str">
        <f>'G-1 All Habitats'!B36</f>
        <v>Heathland and shrub - Sea buckthorn scrub (Annex 1)</v>
      </c>
    </row>
    <row r="36" spans="1:4">
      <c r="A36" s="443" t="s">
        <v>416</v>
      </c>
      <c r="D36" s="443" t="str">
        <f>'G-1 All Habitats'!B37</f>
        <v>Heathland and shrub - Sea buckthorn scrub (other)</v>
      </c>
    </row>
    <row r="37" spans="1:4">
      <c r="A37" s="443" t="s">
        <v>417</v>
      </c>
      <c r="D37" s="443" t="str">
        <f>'G-1 All Habitats'!B38</f>
        <v>Heathland and shrub - Upland Heathland</v>
      </c>
    </row>
    <row r="38" spans="1:4">
      <c r="A38" s="443" t="s">
        <v>418</v>
      </c>
      <c r="D38" s="443" t="str">
        <f>'G-1 All Habitats'!B39</f>
        <v>Lakes - Aquifer fed naturally fluctuating water bodies</v>
      </c>
    </row>
    <row r="39" spans="1:4">
      <c r="A39" s="443" t="s">
        <v>419</v>
      </c>
      <c r="D39" s="443" t="e">
        <f>'G-1 All Habitats'!#REF!</f>
        <v>#REF!</v>
      </c>
    </row>
    <row r="40" spans="1:4">
      <c r="A40" s="443" t="s">
        <v>420</v>
      </c>
      <c r="D40" s="443" t="str">
        <f>'G-1 All Habitats'!B41</f>
        <v>Lakes - High alkalinity lakes</v>
      </c>
    </row>
    <row r="41" spans="1:4">
      <c r="A41" s="443" t="s">
        <v>421</v>
      </c>
      <c r="D41" s="443" t="str">
        <f>'G-1 All Habitats'!B42</f>
        <v>Lakes - Low alkalinity lakes</v>
      </c>
    </row>
    <row r="42" spans="1:4">
      <c r="A42" s="443" t="s">
        <v>422</v>
      </c>
      <c r="D42" s="443" t="str">
        <f>'G-1 All Habitats'!B43</f>
        <v>Lakes - Marl Lakes</v>
      </c>
    </row>
    <row r="43" spans="1:4">
      <c r="A43" s="443" t="s">
        <v>423</v>
      </c>
      <c r="D43" s="443" t="str">
        <f>'G-1 All Habitats'!B44</f>
        <v>Lakes - Moderate alkalinity lakes</v>
      </c>
    </row>
    <row r="44" spans="1:4">
      <c r="A44" s="443" t="s">
        <v>424</v>
      </c>
      <c r="D44" s="443" t="str">
        <f>'G-1 All Habitats'!B45</f>
        <v>Lakes - Peat Lakes</v>
      </c>
    </row>
    <row r="45" spans="1:4">
      <c r="A45" s="443" t="s">
        <v>425</v>
      </c>
      <c r="D45" s="443" t="str">
        <f>'G-1 All Habitats'!B46</f>
        <v>Lakes - Ponds (Priority Habitat)</v>
      </c>
    </row>
    <row r="46" spans="1:4">
      <c r="A46" s="443" t="s">
        <v>426</v>
      </c>
      <c r="D46" s="443" t="str">
        <f>'G-1 All Habitats'!B47</f>
        <v>Lakes - Ponds (Non- Priority Habitat)</v>
      </c>
    </row>
    <row r="47" spans="1:4">
      <c r="A47" s="443" t="s">
        <v>427</v>
      </c>
      <c r="D47" s="443" t="str">
        <f>'G-1 All Habitats'!B48</f>
        <v>Lakes - Reservoirs</v>
      </c>
    </row>
    <row r="48" spans="1:4">
      <c r="A48" s="443" t="s">
        <v>428</v>
      </c>
      <c r="D48" s="443" t="str">
        <f>'G-1 All Habitats'!B49</f>
        <v>Lakes - Temporary lakes, ponds and pools</v>
      </c>
    </row>
    <row r="49" spans="1:4">
      <c r="A49" s="443" t="s">
        <v>429</v>
      </c>
      <c r="D49" s="443" t="str">
        <f>'G-1 All Habitats'!B50</f>
        <v>Sparsely vegetated land - Calaminarian grasslands</v>
      </c>
    </row>
    <row r="50" spans="1:4">
      <c r="A50" s="443" t="s">
        <v>430</v>
      </c>
      <c r="D50" s="443" t="str">
        <f>'G-1 All Habitats'!B51</f>
        <v>Sparsely vegetated land - Coastal sand dunes</v>
      </c>
    </row>
    <row r="51" spans="1:4">
      <c r="A51" s="443" t="s">
        <v>431</v>
      </c>
      <c r="D51" s="443" t="str">
        <f>'G-1 All Habitats'!B52</f>
        <v>Sparsely vegetated land - Coastal vegetated shingle</v>
      </c>
    </row>
    <row r="52" spans="1:4">
      <c r="A52" s="443" t="s">
        <v>432</v>
      </c>
      <c r="D52" s="443" t="str">
        <f>'G-1 All Habitats'!B53</f>
        <v>Sparsely vegetated land - Ruderal/Ephemeral</v>
      </c>
    </row>
    <row r="53" spans="1:4">
      <c r="A53" s="443" t="s">
        <v>433</v>
      </c>
      <c r="D53" s="443" t="str">
        <f>'G-1 All Habitats'!B54</f>
        <v>Sparsely vegetated land - Inland rock outcrop and scree habitats</v>
      </c>
    </row>
    <row r="54" spans="1:4">
      <c r="A54" s="443" t="s">
        <v>434</v>
      </c>
      <c r="D54" s="443" t="str">
        <f>'G-1 All Habitats'!B55</f>
        <v>Sparsely vegetated land - Limestone pavement</v>
      </c>
    </row>
    <row r="55" spans="1:4">
      <c r="A55" s="443" t="s">
        <v>435</v>
      </c>
      <c r="D55" s="443" t="str">
        <f>'G-1 All Habitats'!B56</f>
        <v>Sparsely vegetated land - Maritime cliff and slopes</v>
      </c>
    </row>
    <row r="56" spans="1:4">
      <c r="A56" s="443" t="s">
        <v>436</v>
      </c>
      <c r="D56" s="443" t="str">
        <f>'G-1 All Habitats'!B57</f>
        <v>Sparsely vegetated land - Other inland rock and scree</v>
      </c>
    </row>
    <row r="57" spans="1:4">
      <c r="A57" s="443" t="s">
        <v>437</v>
      </c>
      <c r="D57" s="443" t="str">
        <f>'G-1 All Habitats'!B58</f>
        <v>Urban - Allotments</v>
      </c>
    </row>
    <row r="58" spans="1:4">
      <c r="A58" s="443" t="s">
        <v>438</v>
      </c>
      <c r="D58" s="443" t="str">
        <f>'G-1 All Habitats'!B40</f>
        <v>Lakes - Ornamental lake or pond</v>
      </c>
    </row>
    <row r="59" spans="1:4">
      <c r="A59" s="443" t="s">
        <v>439</v>
      </c>
      <c r="D59" s="443" t="str">
        <f>'G-1 All Habitats'!B59</f>
        <v>Urban - Artificial unvegetated, unsealed surface</v>
      </c>
    </row>
    <row r="60" spans="1:4">
      <c r="A60" s="443" t="s">
        <v>440</v>
      </c>
      <c r="D60" s="443" t="str">
        <f>'G-1 All Habitats'!B60</f>
        <v>Urban - Bioswale</v>
      </c>
    </row>
    <row r="61" spans="1:4">
      <c r="A61" s="443" t="s">
        <v>441</v>
      </c>
      <c r="D61" s="443" t="str">
        <f>'G-1 All Habitats'!B61</f>
        <v>Urban - Brown roof</v>
      </c>
    </row>
    <row r="62" spans="1:4">
      <c r="A62" s="443" t="s">
        <v>442</v>
      </c>
      <c r="D62" s="443" t="str">
        <f>'G-1 All Habitats'!B62</f>
        <v>Urban - Built linear features</v>
      </c>
    </row>
    <row r="63" spans="1:4">
      <c r="A63" s="443" t="s">
        <v>443</v>
      </c>
      <c r="D63" s="443" t="str">
        <f>'G-1 All Habitats'!B63</f>
        <v>Urban - Cemeteries and churchyards</v>
      </c>
    </row>
    <row r="64" spans="1:4">
      <c r="A64" s="443" t="s">
        <v>444</v>
      </c>
      <c r="D64" s="443" t="str">
        <f>'G-1 All Habitats'!B64</f>
        <v>Urban - Developed land; sealed surface</v>
      </c>
    </row>
    <row r="65" spans="1:4">
      <c r="A65" s="443" t="s">
        <v>445</v>
      </c>
      <c r="D65" s="443" t="str">
        <f>'G-1 All Habitats'!B65</f>
        <v>Urban - Extensive green roof</v>
      </c>
    </row>
    <row r="66" spans="1:4">
      <c r="A66" s="443" t="s">
        <v>446</v>
      </c>
      <c r="D66" s="443" t="str">
        <f>'G-1 All Habitats'!B66</f>
        <v>Urban - Facade-bound green wall</v>
      </c>
    </row>
    <row r="67" spans="1:4">
      <c r="A67" s="443" t="s">
        <v>447</v>
      </c>
      <c r="D67" s="443" t="str">
        <f>'G-1 All Habitats'!B67</f>
        <v>Urban - Ground based green wall</v>
      </c>
    </row>
    <row r="68" spans="1:4">
      <c r="A68" s="443" t="s">
        <v>448</v>
      </c>
      <c r="D68" s="443" t="str">
        <f>'G-1 All Habitats'!B68</f>
        <v>Urban - Ground level planters</v>
      </c>
    </row>
    <row r="69" spans="1:4">
      <c r="A69" s="443" t="s">
        <v>449</v>
      </c>
      <c r="D69" s="443" t="str">
        <f>'G-1 All Habitats'!B69</f>
        <v>Urban - Intensive green roof</v>
      </c>
    </row>
    <row r="70" spans="1:4">
      <c r="A70" s="443" t="s">
        <v>450</v>
      </c>
      <c r="D70" s="443" t="str">
        <f>'G-1 All Habitats'!B70</f>
        <v>Urban - Introduced shrub</v>
      </c>
    </row>
    <row r="71" spans="1:4">
      <c r="A71" s="443" t="s">
        <v>451</v>
      </c>
      <c r="D71" s="443" t="e">
        <f>'G-1 All Habitats'!#REF!</f>
        <v>#REF!</v>
      </c>
    </row>
    <row r="72" spans="1:4">
      <c r="A72" s="443" t="s">
        <v>452</v>
      </c>
      <c r="D72" s="443" t="str">
        <f>'G-1 All Habitats'!B71</f>
        <v>Urban - Open Mosaic Habitats on Previously Developed Land</v>
      </c>
    </row>
    <row r="73" spans="1:4">
      <c r="A73" s="443" t="s">
        <v>453</v>
      </c>
      <c r="D73" s="443" t="e">
        <f>'G-1 All Habitats'!#REF!</f>
        <v>#REF!</v>
      </c>
    </row>
    <row r="74" spans="1:4">
      <c r="A74" s="443" t="s">
        <v>454</v>
      </c>
      <c r="D74" s="443" t="str">
        <f>'G-1 All Habitats'!B72</f>
        <v>Urban - Rain garden</v>
      </c>
    </row>
    <row r="75" spans="1:4">
      <c r="A75" s="443" t="s">
        <v>455</v>
      </c>
      <c r="D75" s="443" t="str">
        <f>'G-1 All Habitats'!B73</f>
        <v>Urban - Sand pit quarry or open cast mine</v>
      </c>
    </row>
    <row r="76" spans="1:4">
      <c r="A76" s="443" t="s">
        <v>456</v>
      </c>
      <c r="D76" s="443" t="str">
        <f>'G-1 All Habitats'!B74</f>
        <v>Urban - Urban Tree</v>
      </c>
    </row>
    <row r="77" spans="1:4">
      <c r="A77" s="443" t="s">
        <v>457</v>
      </c>
      <c r="D77" s="443" t="e">
        <f>'G-1 All Habitats'!#REF!</f>
        <v>#REF!</v>
      </c>
    </row>
    <row r="78" spans="1:4">
      <c r="A78" s="443" t="s">
        <v>458</v>
      </c>
      <c r="D78" s="443" t="str">
        <f>'G-1 All Habitats'!B75</f>
        <v>Urban - Sustainable urban drainage feature</v>
      </c>
    </row>
    <row r="79" spans="1:4">
      <c r="A79" s="443" t="s">
        <v>459</v>
      </c>
      <c r="D79" s="443" t="str">
        <f>'G-1 All Habitats'!B76</f>
        <v>Urban - Un-vegetated garden</v>
      </c>
    </row>
    <row r="80" spans="1:4">
      <c r="A80" s="443" t="s">
        <v>460</v>
      </c>
      <c r="D80" s="443" t="str">
        <f>'G-1 All Habitats'!B77</f>
        <v>Urban - Vacant/derelict land/ bareground</v>
      </c>
    </row>
    <row r="81" spans="1:4">
      <c r="A81" s="443" t="s">
        <v>461</v>
      </c>
      <c r="D81" s="443" t="str">
        <f>'G-1 All Habitats'!B78</f>
        <v>Urban - Vegetated garden</v>
      </c>
    </row>
    <row r="82" spans="1:4">
      <c r="A82" s="443" t="s">
        <v>462</v>
      </c>
      <c r="D82" s="443" t="e">
        <f>'G-1 All Habitats'!#REF!</f>
        <v>#REF!</v>
      </c>
    </row>
    <row r="83" spans="1:4">
      <c r="A83" s="443" t="s">
        <v>463</v>
      </c>
      <c r="D83" s="443" t="str">
        <f>'G-1 All Habitats'!B79</f>
        <v>Wetland - Blanket bog</v>
      </c>
    </row>
    <row r="84" spans="1:4">
      <c r="A84" s="443" t="s">
        <v>464</v>
      </c>
      <c r="D84" s="443" t="str">
        <f>'G-1 All Habitats'!B80</f>
        <v>Wetland - Depressions on Peat substrates (H7150)</v>
      </c>
    </row>
    <row r="85" spans="1:4">
      <c r="A85" s="443" t="s">
        <v>465</v>
      </c>
      <c r="D85" s="443" t="str">
        <f>'G-1 All Habitats'!B81</f>
        <v>Wetland - Fens (upland and lowland)</v>
      </c>
    </row>
    <row r="86" spans="1:4">
      <c r="A86" s="443" t="s">
        <v>466</v>
      </c>
      <c r="D86" s="443" t="str">
        <f>'G-1 All Habitats'!B82</f>
        <v>Wetland - Lowland raised bog</v>
      </c>
    </row>
    <row r="87" spans="1:4">
      <c r="A87" s="443" t="s">
        <v>467</v>
      </c>
      <c r="D87" s="443" t="str">
        <f>'G-1 All Habitats'!B83</f>
        <v>Wetland - Oceanic Valley Mire[1] (D2.1)</v>
      </c>
    </row>
    <row r="88" spans="1:4">
      <c r="A88" s="443" t="s">
        <v>468</v>
      </c>
      <c r="D88" s="443" t="str">
        <f>'G-1 All Habitats'!B84</f>
        <v>Wetland - Purple moor grass and rush pastures</v>
      </c>
    </row>
    <row r="89" spans="1:4">
      <c r="A89" s="443" t="s">
        <v>469</v>
      </c>
      <c r="D89" s="443" t="str">
        <f>'G-1 All Habitats'!B85</f>
        <v>Wetland - Reedbeds</v>
      </c>
    </row>
    <row r="90" spans="1:4">
      <c r="A90" s="443" t="s">
        <v>470</v>
      </c>
      <c r="D90" s="443" t="str">
        <f>'G-1 All Habitats'!B86</f>
        <v>Wetland - Transition mires and quaking bogs (H7140)</v>
      </c>
    </row>
    <row r="91" spans="1:4">
      <c r="A91" s="443" t="s">
        <v>471</v>
      </c>
      <c r="D91" s="443" t="str">
        <f>'G-1 All Habitats'!B87</f>
        <v>Woodland and forest - Felled</v>
      </c>
    </row>
    <row r="92" spans="1:4">
      <c r="A92" s="443" t="s">
        <v>472</v>
      </c>
      <c r="D92" s="443" t="str">
        <f>'G-1 All Habitats'!B88</f>
        <v>Woodland and forest - Lowland beech and yew woodland</v>
      </c>
    </row>
    <row r="93" spans="1:4">
      <c r="A93" s="443" t="s">
        <v>473</v>
      </c>
      <c r="D93" s="443" t="str">
        <f>'G-1 All Habitats'!B89</f>
        <v>Woodland and forest - Lowland mixed deciduous woodland</v>
      </c>
    </row>
    <row r="94" spans="1:4">
      <c r="A94" s="443" t="s">
        <v>474</v>
      </c>
      <c r="D94" s="443" t="str">
        <f>'G-1 All Habitats'!B90</f>
        <v>Woodland and forest - Native pine woodlands</v>
      </c>
    </row>
    <row r="95" spans="1:4">
      <c r="A95" s="443" t="s">
        <v>475</v>
      </c>
      <c r="D95" s="443" t="str">
        <f>'G-1 All Habitats'!B91</f>
        <v>Woodland and forest - Other coniferous woodland</v>
      </c>
    </row>
    <row r="96" spans="1:4">
      <c r="A96" s="443" t="s">
        <v>476</v>
      </c>
      <c r="D96" s="443" t="str">
        <f>'G-1 All Habitats'!B92</f>
        <v>Woodland and forest - Other Scot's Pine woodland</v>
      </c>
    </row>
    <row r="97" spans="1:4">
      <c r="A97" s="443" t="s">
        <v>477</v>
      </c>
      <c r="D97" s="443" t="str">
        <f>'G-1 All Habitats'!B93</f>
        <v>Woodland and forest - Other woodland; broadleaved</v>
      </c>
    </row>
    <row r="98" spans="1:4">
      <c r="A98" s="443" t="s">
        <v>478</v>
      </c>
      <c r="D98" s="443" t="str">
        <f>'G-1 All Habitats'!B94</f>
        <v>Woodland and forest - Other woodland; mixed</v>
      </c>
    </row>
    <row r="99" spans="1:4">
      <c r="A99" s="443" t="s">
        <v>479</v>
      </c>
      <c r="D99" s="443" t="e">
        <f>'G-1 All Habitats'!#REF!</f>
        <v>#REF!</v>
      </c>
    </row>
    <row r="100" spans="1:4">
      <c r="A100" s="443" t="s">
        <v>480</v>
      </c>
      <c r="D100" s="443" t="str">
        <f>'G-1 All Habitats'!B95</f>
        <v>Woodland and forest - Upland birchwoods</v>
      </c>
    </row>
    <row r="101" spans="1:4">
      <c r="A101" s="443" t="s">
        <v>481</v>
      </c>
      <c r="D101" s="443" t="str">
        <f>'G-1 All Habitats'!B96</f>
        <v>Woodland and forest - Upland mixed ashwoods</v>
      </c>
    </row>
    <row r="102" spans="1:4">
      <c r="A102" s="443" t="s">
        <v>482</v>
      </c>
      <c r="D102" s="443" t="str">
        <f>'G-1 All Habitats'!B97</f>
        <v>Woodland and forest - Upland oakwood</v>
      </c>
    </row>
    <row r="103" spans="1:4">
      <c r="A103" s="443" t="s">
        <v>483</v>
      </c>
      <c r="D103" s="443" t="str">
        <f>'G-1 All Habitats'!B98</f>
        <v>Woodland and forest - Wet woodland</v>
      </c>
    </row>
    <row r="104" spans="1:4">
      <c r="A104" s="443" t="s">
        <v>484</v>
      </c>
      <c r="D104" s="443" t="str">
        <f>'G-1 All Habitats'!B99</f>
        <v>Woodland and forest - Wood-pasture and parkland</v>
      </c>
    </row>
    <row r="105" spans="1:4">
      <c r="A105" s="443" t="s">
        <v>485</v>
      </c>
      <c r="D105" s="443" t="str">
        <f>'G-1 All Habitats'!B100</f>
        <v>Coastal lagoons - Coastal lagoons</v>
      </c>
    </row>
    <row r="106" spans="1:4">
      <c r="A106" s="443" t="s">
        <v>486</v>
      </c>
      <c r="D106" s="443" t="str">
        <f>'G-1 All Habitats'!B101</f>
        <v>Rocky shore - High energy littoral rock</v>
      </c>
    </row>
    <row r="107" spans="1:4">
      <c r="A107" s="443" t="s">
        <v>487</v>
      </c>
      <c r="D107" s="443" t="str">
        <f>'G-1 All Habitats'!B102</f>
        <v>Rocky shore - High energy littoral rock - on peat, clay or chalk</v>
      </c>
    </row>
    <row r="108" spans="1:4">
      <c r="A108" s="443" t="s">
        <v>488</v>
      </c>
      <c r="D108" s="443" t="str">
        <f>'G-1 All Habitats'!B103</f>
        <v>Rocky shore - Moderate energy littoral rock</v>
      </c>
    </row>
    <row r="109" spans="1:4">
      <c r="A109" s="443" t="s">
        <v>489</v>
      </c>
      <c r="D109" s="443" t="str">
        <f>'G-1 All Habitats'!B104</f>
        <v>Rocky shore - Moderate energy littoral rock - on peat, clay or chalk</v>
      </c>
    </row>
    <row r="110" spans="1:4">
      <c r="A110" s="443" t="s">
        <v>490</v>
      </c>
      <c r="D110" s="443" t="str">
        <f>'G-1 All Habitats'!B105</f>
        <v>Rocky shore - Low energy littoral rock</v>
      </c>
    </row>
    <row r="111" spans="1:4">
      <c r="A111" s="443" t="s">
        <v>491</v>
      </c>
      <c r="D111" s="443" t="str">
        <f>'G-1 All Habitats'!B106</f>
        <v>Rocky shore - Low energy littoral rock - on peat, clay or chalk</v>
      </c>
    </row>
    <row r="112" spans="1:4">
      <c r="A112" s="443" t="s">
        <v>492</v>
      </c>
      <c r="D112" s="443" t="str">
        <f>'G-1 All Habitats'!B107</f>
        <v>Rocky shore - Features of littoral rock</v>
      </c>
    </row>
    <row r="113" spans="1:4">
      <c r="A113" s="443" t="s">
        <v>493</v>
      </c>
      <c r="D113" s="443" t="str">
        <f>'G-1 All Habitats'!B108</f>
        <v>Rocky shore - Features of littoral rock - on peat, clay or chalk</v>
      </c>
    </row>
    <row r="114" spans="1:4">
      <c r="A114" s="443" t="s">
        <v>494</v>
      </c>
      <c r="D114" s="443" t="e">
        <f>'G-1 All Habitats'!#REF!</f>
        <v>#REF!</v>
      </c>
    </row>
    <row r="115" spans="1:4">
      <c r="A115" s="443" t="s">
        <v>495</v>
      </c>
      <c r="D115" s="443" t="e">
        <f>'G-1 All Habitats'!#REF!</f>
        <v>#REF!</v>
      </c>
    </row>
    <row r="116" spans="1:4">
      <c r="A116" s="443" t="s">
        <v>496</v>
      </c>
      <c r="D116" s="443" t="e">
        <f>'G-1 All Habitats'!#REF!</f>
        <v>#REF!</v>
      </c>
    </row>
    <row r="117" spans="1:4">
      <c r="A117" s="443" t="s">
        <v>497</v>
      </c>
      <c r="D117" s="443" t="e">
        <f>'G-1 All Habitats'!#REF!</f>
        <v>#REF!</v>
      </c>
    </row>
    <row r="118" spans="1:4">
      <c r="A118" s="443" t="s">
        <v>498</v>
      </c>
      <c r="D118" s="443" t="str">
        <f>'G-1 All Habitats'!B111</f>
        <v>Intertidal sediment - Littoral coarse sediment</v>
      </c>
    </row>
    <row r="119" spans="1:4">
      <c r="A119" s="443" t="s">
        <v>499</v>
      </c>
      <c r="D119" s="443" t="e">
        <f>'G-1 All Habitats'!#REF!</f>
        <v>#REF!</v>
      </c>
    </row>
    <row r="120" spans="1:4">
      <c r="A120" s="443" t="s">
        <v>500</v>
      </c>
      <c r="D120" s="443" t="str">
        <f>'G-1 All Habitats'!B112</f>
        <v>Intertidal sediment - Littoral mud</v>
      </c>
    </row>
    <row r="121" spans="1:4">
      <c r="A121" s="443" t="s">
        <v>501</v>
      </c>
      <c r="D121" s="443" t="str">
        <f>'G-1 All Habitats'!B113</f>
        <v>Intertidal sediment - Littoral mixed sediments</v>
      </c>
    </row>
    <row r="122" spans="1:4">
      <c r="A122" s="443" t="s">
        <v>502</v>
      </c>
      <c r="D122" s="443" t="str">
        <f>'G-1 All Habitats'!B109</f>
        <v>Coastal saltmarsh - Saltmarshes and saline reedbeds</v>
      </c>
    </row>
    <row r="123" spans="1:4">
      <c r="A123" s="443" t="s">
        <v>503</v>
      </c>
      <c r="D123" s="443" t="str">
        <f>'G-1 All Habitats'!B114</f>
        <v>Intertidal sediment - Littoral seagrass</v>
      </c>
    </row>
    <row r="124" spans="1:4">
      <c r="A124" s="443" t="s">
        <v>504</v>
      </c>
      <c r="D124" s="443" t="str">
        <f>'G-1 All Habitats'!B115</f>
        <v>Intertidal sediment - Littoral seagrass on peat, clay or chalk</v>
      </c>
    </row>
    <row r="125" spans="1:4">
      <c r="A125" s="443" t="s">
        <v>505</v>
      </c>
      <c r="D125" s="443" t="str">
        <f>'G-1 All Habitats'!B117</f>
        <v>Intertidal sediment - Littoral biogenic reefs - Sabellaria</v>
      </c>
    </row>
    <row r="126" spans="1:4">
      <c r="A126" s="443" t="s">
        <v>506</v>
      </c>
      <c r="D126" s="443" t="e">
        <f>'G-1 All Habitats'!#REF!</f>
        <v>#REF!</v>
      </c>
    </row>
    <row r="127" spans="1:4">
      <c r="A127" s="443" t="s">
        <v>507</v>
      </c>
      <c r="D127" s="443" t="str">
        <f>'G-1 All Habitats'!B118</f>
        <v>Intertidal sediment - Features of littoral sediment</v>
      </c>
    </row>
    <row r="128" spans="1:4">
      <c r="A128" s="443" t="s">
        <v>508</v>
      </c>
      <c r="D128" s="443" t="str">
        <f>'G-1 All Habitats'!B119</f>
        <v>Intertidal sediment - Artificial littoral coarse sediment</v>
      </c>
    </row>
    <row r="129" spans="1:4">
      <c r="A129" s="443" t="s">
        <v>509</v>
      </c>
      <c r="D129" s="443" t="e">
        <f>'G-1 All Habitats'!#REF!</f>
        <v>#REF!</v>
      </c>
    </row>
    <row r="130" spans="1:4">
      <c r="A130" s="443" t="s">
        <v>510</v>
      </c>
      <c r="D130" s="443" t="str">
        <f>'G-1 All Habitats'!B122</f>
        <v>Intertidal sediment - Artificial littoral muddy sand</v>
      </c>
    </row>
    <row r="131" spans="1:4">
      <c r="A131" s="443" t="s">
        <v>511</v>
      </c>
      <c r="D131" s="443" t="str">
        <f>'G-1 All Habitats'!B123</f>
        <v>Intertidal sediment - Artificial littoral mixed sediments</v>
      </c>
    </row>
    <row r="132" spans="1:4">
      <c r="A132" s="443" t="s">
        <v>512</v>
      </c>
      <c r="D132" s="443" t="str">
        <f>'G-1 All Habitats'!B124</f>
        <v>Intertidal sediment - Artificial littoral seagrass</v>
      </c>
    </row>
    <row r="133" spans="1:4">
      <c r="A133" s="443" t="s">
        <v>513</v>
      </c>
      <c r="D133" s="443" t="str">
        <f>'G-1 All Habitats'!B125</f>
        <v>Intertidal sediment - Artificial littoral biogenic reefs</v>
      </c>
    </row>
    <row r="134" spans="1:4">
      <c r="A134" s="443" t="s">
        <v>514</v>
      </c>
      <c r="D134" s="443" t="e">
        <f>'G-1 All Habitats'!#REF!</f>
        <v>#REF!</v>
      </c>
    </row>
    <row r="135" spans="1:4">
      <c r="A135" s="443" t="s">
        <v>515</v>
      </c>
      <c r="D135" s="443" t="e">
        <f>'G-1 All Habitats'!#REF!</f>
        <v>#REF!</v>
      </c>
    </row>
    <row r="136" spans="1:4">
      <c r="A136" s="443" t="s">
        <v>516</v>
      </c>
      <c r="D136" s="443">
        <f>'G-1 All Habitats'!B131</f>
        <v>0</v>
      </c>
    </row>
    <row r="137" spans="1:4">
      <c r="A137" s="443" t="s">
        <v>517</v>
      </c>
      <c r="D137" s="443">
        <f>'G-1 All Habitats'!B132</f>
        <v>0</v>
      </c>
    </row>
    <row r="138" spans="1:4">
      <c r="A138" s="443" t="s">
        <v>518</v>
      </c>
      <c r="D138" s="443">
        <f>'G-1 All Habitats'!B133</f>
        <v>0</v>
      </c>
    </row>
    <row r="139" spans="1:4">
      <c r="A139" s="443" t="s">
        <v>519</v>
      </c>
      <c r="D139" s="443">
        <f>'G-1 All Habitats'!B134</f>
        <v>0</v>
      </c>
    </row>
    <row r="140" spans="1:4">
      <c r="A140" s="443" t="s">
        <v>520</v>
      </c>
      <c r="D140" s="443">
        <f>'G-1 All Habitats'!B135</f>
        <v>0</v>
      </c>
    </row>
    <row r="141" spans="1:4">
      <c r="A141" s="443" t="s">
        <v>521</v>
      </c>
      <c r="D141" s="443">
        <f>'G-1 All Habitats'!B136</f>
        <v>0</v>
      </c>
    </row>
    <row r="142" spans="1:4">
      <c r="A142" s="443" t="s">
        <v>522</v>
      </c>
      <c r="D142" s="443">
        <f>'G-1 All Habitats'!B137</f>
        <v>0</v>
      </c>
    </row>
    <row r="143" spans="1:4">
      <c r="A143" s="443" t="s">
        <v>523</v>
      </c>
      <c r="D143" s="443">
        <f>'G-1 All Habitats'!B138</f>
        <v>0</v>
      </c>
    </row>
    <row r="144" spans="1:4">
      <c r="A144" s="443" t="s">
        <v>524</v>
      </c>
      <c r="D144" s="443">
        <f>'G-1 All Habitats'!B139</f>
        <v>0</v>
      </c>
    </row>
    <row r="145" spans="1:4">
      <c r="A145" s="443" t="s">
        <v>525</v>
      </c>
      <c r="D145" s="443">
        <f>'G-1 All Habitats'!B140</f>
        <v>0</v>
      </c>
    </row>
    <row r="146" spans="1:4">
      <c r="A146" s="443" t="s">
        <v>526</v>
      </c>
      <c r="D146" s="443">
        <f>'G-1 All Habitats'!B141</f>
        <v>0</v>
      </c>
    </row>
    <row r="147" spans="1:4">
      <c r="A147" s="443" t="s">
        <v>527</v>
      </c>
      <c r="D147" s="443">
        <f>'G-1 All Habitats'!B142</f>
        <v>0</v>
      </c>
    </row>
    <row r="148" spans="1:4">
      <c r="A148" s="443" t="s">
        <v>528</v>
      </c>
      <c r="D148" s="443">
        <f>'G-1 All Habitats'!B143</f>
        <v>0</v>
      </c>
    </row>
    <row r="149" spans="1:4">
      <c r="A149" s="443" t="s">
        <v>529</v>
      </c>
      <c r="D149" s="443">
        <f>'G-1 All Habitats'!B144</f>
        <v>0</v>
      </c>
    </row>
    <row r="150" spans="1:4">
      <c r="A150" s="443" t="s">
        <v>530</v>
      </c>
      <c r="D150" s="443">
        <f>'G-1 All Habitats'!B145</f>
        <v>0</v>
      </c>
    </row>
    <row r="151" spans="1:4">
      <c r="A151" s="443" t="s">
        <v>531</v>
      </c>
      <c r="D151" s="443">
        <f>'G-1 All Habitats'!B146</f>
        <v>0</v>
      </c>
    </row>
    <row r="152" spans="1:4">
      <c r="A152" s="443" t="s">
        <v>532</v>
      </c>
      <c r="D152" s="443">
        <f>'G-1 All Habitats'!B147</f>
        <v>0</v>
      </c>
    </row>
    <row r="153" spans="1:4">
      <c r="A153" s="443" t="s">
        <v>533</v>
      </c>
      <c r="D153" s="443">
        <f>'G-1 All Habitats'!B148</f>
        <v>0</v>
      </c>
    </row>
    <row r="154" spans="1:4">
      <c r="A154" s="443" t="s">
        <v>534</v>
      </c>
      <c r="D154" s="443">
        <f>'G-1 All Habitats'!B149</f>
        <v>0</v>
      </c>
    </row>
    <row r="155" spans="1:4">
      <c r="A155" s="443" t="s">
        <v>535</v>
      </c>
      <c r="D155" s="443">
        <f>'G-1 All Habitats'!B150</f>
        <v>0</v>
      </c>
    </row>
    <row r="156" spans="1:4">
      <c r="A156" s="443" t="s">
        <v>536</v>
      </c>
      <c r="D156" s="443">
        <f>'G-1 All Habitats'!B151</f>
        <v>0</v>
      </c>
    </row>
    <row r="157" spans="1:4">
      <c r="A157" s="443" t="s">
        <v>537</v>
      </c>
    </row>
    <row r="158" spans="1:4">
      <c r="A158" s="443" t="s">
        <v>538</v>
      </c>
    </row>
    <row r="159" spans="1:4">
      <c r="A159" s="443" t="s">
        <v>539</v>
      </c>
    </row>
    <row r="160" spans="1:4">
      <c r="A160" s="443" t="s">
        <v>540</v>
      </c>
    </row>
    <row r="161" spans="1:1">
      <c r="A161" s="443" t="s">
        <v>541</v>
      </c>
    </row>
    <row r="162" spans="1:1">
      <c r="A162" s="443" t="s">
        <v>542</v>
      </c>
    </row>
    <row r="163" spans="1:1">
      <c r="A163" s="443" t="s">
        <v>543</v>
      </c>
    </row>
    <row r="164" spans="1:1">
      <c r="A164" s="443" t="s">
        <v>544</v>
      </c>
    </row>
    <row r="165" spans="1:1">
      <c r="A165" s="443" t="s">
        <v>545</v>
      </c>
    </row>
    <row r="166" spans="1:1">
      <c r="A166" s="443" t="s">
        <v>546</v>
      </c>
    </row>
    <row r="167" spans="1:1">
      <c r="A167" s="443" t="s">
        <v>547</v>
      </c>
    </row>
    <row r="168" spans="1:1">
      <c r="A168" s="443" t="s">
        <v>548</v>
      </c>
    </row>
    <row r="169" spans="1:1">
      <c r="A169" s="443" t="s">
        <v>549</v>
      </c>
    </row>
    <row r="170" spans="1:1">
      <c r="A170" s="443" t="s">
        <v>550</v>
      </c>
    </row>
    <row r="171" spans="1:1">
      <c r="A171" s="443" t="s">
        <v>551</v>
      </c>
    </row>
    <row r="172" spans="1:1">
      <c r="A172" s="443" t="s">
        <v>552</v>
      </c>
    </row>
    <row r="173" spans="1:1">
      <c r="A173" s="443" t="s">
        <v>553</v>
      </c>
    </row>
    <row r="174" spans="1:1">
      <c r="A174" s="443" t="s">
        <v>554</v>
      </c>
    </row>
    <row r="175" spans="1:1">
      <c r="A175" s="443" t="s">
        <v>555</v>
      </c>
    </row>
    <row r="176" spans="1:1">
      <c r="A176" s="443" t="s">
        <v>556</v>
      </c>
    </row>
    <row r="177" spans="1:1">
      <c r="A177" s="443" t="s">
        <v>557</v>
      </c>
    </row>
    <row r="178" spans="1:1">
      <c r="A178" s="443" t="s">
        <v>558</v>
      </c>
    </row>
    <row r="179" spans="1:1">
      <c r="A179" s="443" t="s">
        <v>559</v>
      </c>
    </row>
    <row r="180" spans="1:1">
      <c r="A180" s="443" t="s">
        <v>560</v>
      </c>
    </row>
    <row r="181" spans="1:1">
      <c r="A181" s="443" t="s">
        <v>561</v>
      </c>
    </row>
    <row r="182" spans="1:1">
      <c r="A182" s="443" t="s">
        <v>562</v>
      </c>
    </row>
    <row r="183" spans="1:1">
      <c r="A183" s="443" t="s">
        <v>563</v>
      </c>
    </row>
    <row r="184" spans="1:1">
      <c r="A184" s="443" t="s">
        <v>564</v>
      </c>
    </row>
    <row r="185" spans="1:1">
      <c r="A185" s="443" t="s">
        <v>565</v>
      </c>
    </row>
    <row r="186" spans="1:1">
      <c r="A186" s="443" t="s">
        <v>566</v>
      </c>
    </row>
    <row r="187" spans="1:1">
      <c r="A187" s="443" t="s">
        <v>567</v>
      </c>
    </row>
    <row r="188" spans="1:1">
      <c r="A188" s="443" t="s">
        <v>568</v>
      </c>
    </row>
    <row r="189" spans="1:1">
      <c r="A189" s="443" t="s">
        <v>569</v>
      </c>
    </row>
    <row r="190" spans="1:1">
      <c r="A190" s="443" t="s">
        <v>570</v>
      </c>
    </row>
    <row r="191" spans="1:1">
      <c r="A191" s="443" t="s">
        <v>571</v>
      </c>
    </row>
    <row r="192" spans="1:1">
      <c r="A192" s="443" t="s">
        <v>572</v>
      </c>
    </row>
    <row r="193" spans="1:1">
      <c r="A193" s="443" t="s">
        <v>573</v>
      </c>
    </row>
    <row r="194" spans="1:1">
      <c r="A194" s="443" t="s">
        <v>574</v>
      </c>
    </row>
    <row r="195" spans="1:1">
      <c r="A195" s="443" t="s">
        <v>575</v>
      </c>
    </row>
    <row r="196" spans="1:1">
      <c r="A196" s="443" t="s">
        <v>576</v>
      </c>
    </row>
    <row r="197" spans="1:1">
      <c r="A197" s="443" t="s">
        <v>577</v>
      </c>
    </row>
    <row r="198" spans="1:1">
      <c r="A198" s="443" t="s">
        <v>578</v>
      </c>
    </row>
    <row r="199" spans="1:1">
      <c r="A199" s="443" t="s">
        <v>579</v>
      </c>
    </row>
    <row r="200" spans="1:1">
      <c r="A200" s="443" t="s">
        <v>580</v>
      </c>
    </row>
    <row r="201" spans="1:1">
      <c r="A201" s="443" t="s">
        <v>581</v>
      </c>
    </row>
    <row r="202" spans="1:1">
      <c r="A202" s="443" t="s">
        <v>582</v>
      </c>
    </row>
    <row r="203" spans="1:1">
      <c r="A203" s="443" t="s">
        <v>583</v>
      </c>
    </row>
    <row r="204" spans="1:1">
      <c r="A204" s="443" t="s">
        <v>584</v>
      </c>
    </row>
    <row r="205" spans="1:1">
      <c r="A205" s="443" t="s">
        <v>585</v>
      </c>
    </row>
    <row r="206" spans="1:1">
      <c r="A206" s="443" t="s">
        <v>586</v>
      </c>
    </row>
    <row r="207" spans="1:1">
      <c r="A207" s="443" t="s">
        <v>587</v>
      </c>
    </row>
    <row r="208" spans="1:1">
      <c r="A208" s="443" t="s">
        <v>588</v>
      </c>
    </row>
    <row r="209" spans="1:1">
      <c r="A209" s="443" t="s">
        <v>589</v>
      </c>
    </row>
    <row r="210" spans="1:1">
      <c r="A210" s="443" t="s">
        <v>590</v>
      </c>
    </row>
    <row r="211" spans="1:1">
      <c r="A211" s="443" t="s">
        <v>591</v>
      </c>
    </row>
    <row r="212" spans="1:1">
      <c r="A212" s="443" t="s">
        <v>592</v>
      </c>
    </row>
    <row r="213" spans="1:1">
      <c r="A213" s="443" t="s">
        <v>593</v>
      </c>
    </row>
    <row r="214" spans="1:1">
      <c r="A214" s="443" t="s">
        <v>594</v>
      </c>
    </row>
    <row r="215" spans="1:1">
      <c r="A215" s="443" t="s">
        <v>595</v>
      </c>
    </row>
    <row r="216" spans="1:1">
      <c r="A216" s="443" t="s">
        <v>596</v>
      </c>
    </row>
    <row r="217" spans="1:1">
      <c r="A217" s="443" t="s">
        <v>597</v>
      </c>
    </row>
    <row r="218" spans="1:1">
      <c r="A218" s="443" t="s">
        <v>598</v>
      </c>
    </row>
    <row r="219" spans="1:1">
      <c r="A219" s="443" t="s">
        <v>599</v>
      </c>
    </row>
    <row r="220" spans="1:1">
      <c r="A220" s="443" t="s">
        <v>600</v>
      </c>
    </row>
    <row r="221" spans="1:1">
      <c r="A221" s="443" t="s">
        <v>601</v>
      </c>
    </row>
    <row r="222" spans="1:1">
      <c r="A222" s="443" t="s">
        <v>602</v>
      </c>
    </row>
    <row r="223" spans="1:1">
      <c r="A223" s="443" t="s">
        <v>603</v>
      </c>
    </row>
    <row r="224" spans="1:1">
      <c r="A224" s="443" t="s">
        <v>604</v>
      </c>
    </row>
    <row r="225" spans="1:1">
      <c r="A225" s="443" t="s">
        <v>605</v>
      </c>
    </row>
    <row r="226" spans="1:1">
      <c r="A226" s="443" t="s">
        <v>606</v>
      </c>
    </row>
    <row r="227" spans="1:1">
      <c r="A227" s="443" t="s">
        <v>607</v>
      </c>
    </row>
    <row r="228" spans="1:1">
      <c r="A228" s="443" t="s">
        <v>608</v>
      </c>
    </row>
    <row r="229" spans="1:1">
      <c r="A229" s="443" t="s">
        <v>609</v>
      </c>
    </row>
    <row r="230" spans="1:1">
      <c r="A230" s="443" t="s">
        <v>610</v>
      </c>
    </row>
    <row r="231" spans="1:1">
      <c r="A231" s="443" t="s">
        <v>611</v>
      </c>
    </row>
    <row r="232" spans="1:1">
      <c r="A232" s="443" t="s">
        <v>612</v>
      </c>
    </row>
    <row r="233" spans="1:1">
      <c r="A233" s="443" t="s">
        <v>613</v>
      </c>
    </row>
    <row r="234" spans="1:1">
      <c r="A234" s="443" t="s">
        <v>614</v>
      </c>
    </row>
    <row r="235" spans="1:1">
      <c r="A235" s="443" t="s">
        <v>615</v>
      </c>
    </row>
    <row r="236" spans="1:1">
      <c r="A236" s="443" t="s">
        <v>616</v>
      </c>
    </row>
    <row r="237" spans="1:1">
      <c r="A237" s="443" t="s">
        <v>617</v>
      </c>
    </row>
    <row r="238" spans="1:1">
      <c r="A238" s="443" t="s">
        <v>618</v>
      </c>
    </row>
    <row r="239" spans="1:1">
      <c r="A239" s="443" t="s">
        <v>619</v>
      </c>
    </row>
    <row r="240" spans="1:1">
      <c r="A240" s="443" t="s">
        <v>620</v>
      </c>
    </row>
    <row r="241" spans="1:1">
      <c r="A241" s="443" t="s">
        <v>621</v>
      </c>
    </row>
    <row r="242" spans="1:1">
      <c r="A242" s="443" t="s">
        <v>622</v>
      </c>
    </row>
    <row r="243" spans="1:1">
      <c r="A243" s="443" t="s">
        <v>623</v>
      </c>
    </row>
    <row r="244" spans="1:1">
      <c r="A244" s="443" t="s">
        <v>624</v>
      </c>
    </row>
    <row r="245" spans="1:1">
      <c r="A245" s="443" t="s">
        <v>625</v>
      </c>
    </row>
    <row r="246" spans="1:1">
      <c r="A246" s="443" t="s">
        <v>626</v>
      </c>
    </row>
    <row r="247" spans="1:1">
      <c r="A247" s="443" t="s">
        <v>627</v>
      </c>
    </row>
    <row r="248" spans="1:1">
      <c r="A248" s="443" t="s">
        <v>628</v>
      </c>
    </row>
    <row r="249" spans="1:1">
      <c r="A249" s="443" t="s">
        <v>629</v>
      </c>
    </row>
    <row r="250" spans="1:1">
      <c r="A250" s="443" t="s">
        <v>630</v>
      </c>
    </row>
    <row r="251" spans="1:1">
      <c r="A251" s="443" t="s">
        <v>631</v>
      </c>
    </row>
    <row r="252" spans="1:1">
      <c r="A252" s="443" t="s">
        <v>632</v>
      </c>
    </row>
    <row r="253" spans="1:1">
      <c r="A253" s="443" t="s">
        <v>633</v>
      </c>
    </row>
    <row r="254" spans="1:1">
      <c r="A254" s="443" t="s">
        <v>634</v>
      </c>
    </row>
    <row r="255" spans="1:1">
      <c r="A255" s="443" t="s">
        <v>635</v>
      </c>
    </row>
    <row r="256" spans="1:1">
      <c r="A256" s="443" t="s">
        <v>636</v>
      </c>
    </row>
    <row r="257" spans="1:1">
      <c r="A257" s="443" t="s">
        <v>637</v>
      </c>
    </row>
    <row r="258" spans="1:1">
      <c r="A258" s="443" t="s">
        <v>638</v>
      </c>
    </row>
    <row r="259" spans="1:1">
      <c r="A259" s="443" t="s">
        <v>639</v>
      </c>
    </row>
    <row r="260" spans="1:1">
      <c r="A260" s="443" t="s">
        <v>640</v>
      </c>
    </row>
    <row r="261" spans="1:1">
      <c r="A261" s="443" t="s">
        <v>641</v>
      </c>
    </row>
    <row r="262" spans="1:1">
      <c r="A262" s="443" t="s">
        <v>642</v>
      </c>
    </row>
    <row r="263" spans="1:1">
      <c r="A263" s="443" t="s">
        <v>643</v>
      </c>
    </row>
    <row r="264" spans="1:1">
      <c r="A264" s="443" t="s">
        <v>644</v>
      </c>
    </row>
    <row r="265" spans="1:1">
      <c r="A265" s="443" t="s">
        <v>645</v>
      </c>
    </row>
    <row r="266" spans="1:1">
      <c r="A266" s="443" t="s">
        <v>646</v>
      </c>
    </row>
    <row r="267" spans="1:1">
      <c r="A267" s="443" t="s">
        <v>647</v>
      </c>
    </row>
    <row r="268" spans="1:1">
      <c r="A268" s="443" t="s">
        <v>648</v>
      </c>
    </row>
    <row r="269" spans="1:1">
      <c r="A269" s="443" t="s">
        <v>649</v>
      </c>
    </row>
    <row r="270" spans="1:1">
      <c r="A270" s="443" t="s">
        <v>650</v>
      </c>
    </row>
    <row r="271" spans="1:1">
      <c r="A271" s="443" t="s">
        <v>651</v>
      </c>
    </row>
    <row r="272" spans="1:1">
      <c r="A272" s="443" t="s">
        <v>652</v>
      </c>
    </row>
    <row r="273" spans="1:1">
      <c r="A273" s="443" t="s">
        <v>653</v>
      </c>
    </row>
    <row r="274" spans="1:1">
      <c r="A274" s="443" t="s">
        <v>654</v>
      </c>
    </row>
    <row r="275" spans="1:1">
      <c r="A275" s="443" t="s">
        <v>655</v>
      </c>
    </row>
    <row r="276" spans="1:1">
      <c r="A276" s="443" t="s">
        <v>656</v>
      </c>
    </row>
    <row r="277" spans="1:1">
      <c r="A277" s="443" t="s">
        <v>657</v>
      </c>
    </row>
    <row r="278" spans="1:1">
      <c r="A278" s="443" t="s">
        <v>658</v>
      </c>
    </row>
    <row r="279" spans="1:1">
      <c r="A279" s="443" t="s">
        <v>659</v>
      </c>
    </row>
    <row r="280" spans="1:1">
      <c r="A280" s="443" t="s">
        <v>660</v>
      </c>
    </row>
    <row r="281" spans="1:1">
      <c r="A281" s="443" t="s">
        <v>661</v>
      </c>
    </row>
    <row r="282" spans="1:1">
      <c r="A282" s="443" t="s">
        <v>662</v>
      </c>
    </row>
    <row r="283" spans="1:1">
      <c r="A283" s="443" t="s">
        <v>663</v>
      </c>
    </row>
    <row r="284" spans="1:1">
      <c r="A284" s="443" t="s">
        <v>664</v>
      </c>
    </row>
    <row r="285" spans="1:1">
      <c r="A285" s="443" t="s">
        <v>665</v>
      </c>
    </row>
    <row r="286" spans="1:1">
      <c r="A286" s="443" t="s">
        <v>666</v>
      </c>
    </row>
    <row r="287" spans="1:1">
      <c r="A287" s="443" t="s">
        <v>667</v>
      </c>
    </row>
    <row r="288" spans="1:1">
      <c r="A288" s="443" t="s">
        <v>668</v>
      </c>
    </row>
    <row r="289" spans="1:1">
      <c r="A289" s="443" t="s">
        <v>669</v>
      </c>
    </row>
    <row r="290" spans="1:1">
      <c r="A290" s="443" t="s">
        <v>670</v>
      </c>
    </row>
    <row r="291" spans="1:1">
      <c r="A291" s="443" t="s">
        <v>671</v>
      </c>
    </row>
    <row r="292" spans="1:1">
      <c r="A292" s="443" t="s">
        <v>672</v>
      </c>
    </row>
    <row r="293" spans="1:1">
      <c r="A293" s="443" t="s">
        <v>673</v>
      </c>
    </row>
    <row r="294" spans="1:1">
      <c r="A294" s="443" t="s">
        <v>674</v>
      </c>
    </row>
    <row r="295" spans="1:1">
      <c r="A295" s="443" t="s">
        <v>675</v>
      </c>
    </row>
    <row r="296" spans="1:1">
      <c r="A296" s="443" t="s">
        <v>676</v>
      </c>
    </row>
    <row r="297" spans="1:1">
      <c r="A297" s="443" t="s">
        <v>677</v>
      </c>
    </row>
    <row r="298" spans="1:1">
      <c r="A298" s="443" t="s">
        <v>678</v>
      </c>
    </row>
    <row r="299" spans="1:1">
      <c r="A299" s="443" t="s">
        <v>679</v>
      </c>
    </row>
    <row r="300" spans="1:1">
      <c r="A300" s="443" t="s">
        <v>680</v>
      </c>
    </row>
    <row r="301" spans="1:1">
      <c r="A301" s="443" t="s">
        <v>681</v>
      </c>
    </row>
    <row r="302" spans="1:1">
      <c r="A302" s="443" t="s">
        <v>682</v>
      </c>
    </row>
    <row r="303" spans="1:1">
      <c r="A303" s="443" t="s">
        <v>683</v>
      </c>
    </row>
    <row r="304" spans="1:1">
      <c r="A304" s="443" t="s">
        <v>684</v>
      </c>
    </row>
    <row r="305" spans="1:1">
      <c r="A305" s="443" t="s">
        <v>685</v>
      </c>
    </row>
    <row r="306" spans="1:1">
      <c r="A306" s="443" t="s">
        <v>686</v>
      </c>
    </row>
    <row r="307" spans="1:1">
      <c r="A307" s="443" t="s">
        <v>687</v>
      </c>
    </row>
    <row r="308" spans="1:1">
      <c r="A308" s="443" t="s">
        <v>688</v>
      </c>
    </row>
    <row r="309" spans="1:1">
      <c r="A309" s="443" t="s">
        <v>689</v>
      </c>
    </row>
    <row r="310" spans="1:1">
      <c r="A310" s="443" t="s">
        <v>690</v>
      </c>
    </row>
    <row r="311" spans="1:1">
      <c r="A311" s="443" t="s">
        <v>691</v>
      </c>
    </row>
    <row r="312" spans="1:1">
      <c r="A312" s="443" t="s">
        <v>692</v>
      </c>
    </row>
    <row r="313" spans="1:1">
      <c r="A313" s="443" t="s">
        <v>693</v>
      </c>
    </row>
    <row r="314" spans="1:1">
      <c r="A314" s="443" t="s">
        <v>694</v>
      </c>
    </row>
    <row r="315" spans="1:1">
      <c r="A315" s="443" t="s">
        <v>695</v>
      </c>
    </row>
    <row r="316" spans="1:1">
      <c r="A316" s="443" t="s">
        <v>696</v>
      </c>
    </row>
    <row r="317" spans="1:1">
      <c r="A317" s="443" t="s">
        <v>697</v>
      </c>
    </row>
    <row r="318" spans="1:1">
      <c r="A318" s="443" t="s">
        <v>698</v>
      </c>
    </row>
    <row r="319" spans="1:1">
      <c r="A319" s="443" t="s">
        <v>699</v>
      </c>
    </row>
    <row r="320" spans="1:1">
      <c r="A320" s="443" t="s">
        <v>700</v>
      </c>
    </row>
    <row r="321" spans="1:1">
      <c r="A321" s="443" t="s">
        <v>701</v>
      </c>
    </row>
    <row r="322" spans="1:1">
      <c r="A322" s="443" t="s">
        <v>702</v>
      </c>
    </row>
    <row r="323" spans="1:1">
      <c r="A323" s="443" t="s">
        <v>703</v>
      </c>
    </row>
    <row r="324" spans="1:1">
      <c r="A324" s="443" t="s">
        <v>704</v>
      </c>
    </row>
    <row r="325" spans="1:1">
      <c r="A325" s="443" t="s">
        <v>705</v>
      </c>
    </row>
    <row r="326" spans="1:1">
      <c r="A326" s="443" t="s">
        <v>706</v>
      </c>
    </row>
    <row r="327" spans="1:1">
      <c r="A327" s="443" t="s">
        <v>707</v>
      </c>
    </row>
    <row r="328" spans="1:1">
      <c r="A328" s="443" t="s">
        <v>708</v>
      </c>
    </row>
    <row r="329" spans="1:1">
      <c r="A329" s="443" t="s">
        <v>709</v>
      </c>
    </row>
    <row r="330" spans="1:1">
      <c r="A330" s="443" t="s">
        <v>710</v>
      </c>
    </row>
    <row r="331" spans="1:1">
      <c r="A331" s="443" t="s">
        <v>711</v>
      </c>
    </row>
    <row r="332" spans="1:1">
      <c r="A332" s="443" t="s">
        <v>712</v>
      </c>
    </row>
    <row r="333" spans="1:1">
      <c r="A333" s="443" t="s">
        <v>713</v>
      </c>
    </row>
    <row r="334" spans="1:1">
      <c r="A334" s="443" t="s">
        <v>714</v>
      </c>
    </row>
    <row r="335" spans="1:1">
      <c r="A335" s="443" t="s">
        <v>715</v>
      </c>
    </row>
    <row r="336" spans="1:1">
      <c r="A336" s="443" t="s">
        <v>716</v>
      </c>
    </row>
    <row r="337" spans="1:1">
      <c r="A337" s="443" t="s">
        <v>717</v>
      </c>
    </row>
    <row r="338" spans="1:1">
      <c r="A338" s="443" t="s">
        <v>718</v>
      </c>
    </row>
    <row r="339" spans="1:1">
      <c r="A339" s="443" t="s">
        <v>719</v>
      </c>
    </row>
    <row r="340" spans="1:1">
      <c r="A340" s="443" t="s">
        <v>720</v>
      </c>
    </row>
    <row r="341" spans="1:1">
      <c r="A341" s="443" t="s">
        <v>721</v>
      </c>
    </row>
    <row r="342" spans="1:1">
      <c r="A342" s="443" t="s">
        <v>722</v>
      </c>
    </row>
    <row r="343" spans="1:1">
      <c r="A343" s="443" t="s">
        <v>723</v>
      </c>
    </row>
    <row r="344" spans="1:1">
      <c r="A344" s="443" t="s">
        <v>724</v>
      </c>
    </row>
    <row r="345" spans="1:1">
      <c r="A345" s="443" t="s">
        <v>725</v>
      </c>
    </row>
    <row r="346" spans="1:1">
      <c r="A346" s="443" t="s">
        <v>726</v>
      </c>
    </row>
    <row r="347" spans="1:1">
      <c r="A347" s="443" t="s">
        <v>727</v>
      </c>
    </row>
    <row r="348" spans="1:1">
      <c r="A348" s="443" t="s">
        <v>728</v>
      </c>
    </row>
    <row r="349" spans="1:1">
      <c r="A349" s="443" t="s">
        <v>729</v>
      </c>
    </row>
    <row r="350" spans="1:1">
      <c r="A350" s="443" t="s">
        <v>730</v>
      </c>
    </row>
    <row r="351" spans="1:1">
      <c r="A351" s="443" t="s">
        <v>731</v>
      </c>
    </row>
    <row r="352" spans="1:1">
      <c r="A352" s="443" t="s">
        <v>732</v>
      </c>
    </row>
    <row r="353" spans="1:1">
      <c r="A353" s="443" t="s">
        <v>733</v>
      </c>
    </row>
    <row r="354" spans="1:1">
      <c r="A354" s="443" t="s">
        <v>734</v>
      </c>
    </row>
    <row r="355" spans="1:1">
      <c r="A355" s="443" t="s">
        <v>735</v>
      </c>
    </row>
    <row r="356" spans="1:1">
      <c r="A356" s="443" t="s">
        <v>736</v>
      </c>
    </row>
    <row r="357" spans="1:1">
      <c r="A357" s="443" t="s">
        <v>737</v>
      </c>
    </row>
    <row r="358" spans="1:1">
      <c r="A358" s="443" t="s">
        <v>738</v>
      </c>
    </row>
    <row r="359" spans="1:1">
      <c r="A359" s="443" t="s">
        <v>739</v>
      </c>
    </row>
    <row r="360" spans="1:1">
      <c r="A360" s="443" t="s">
        <v>740</v>
      </c>
    </row>
    <row r="361" spans="1:1">
      <c r="A361" s="443" t="s">
        <v>741</v>
      </c>
    </row>
    <row r="362" spans="1:1">
      <c r="A362" s="443" t="s">
        <v>742</v>
      </c>
    </row>
    <row r="363" spans="1:1">
      <c r="A363" s="443" t="s">
        <v>743</v>
      </c>
    </row>
    <row r="364" spans="1:1">
      <c r="A364" s="443" t="s">
        <v>744</v>
      </c>
    </row>
    <row r="365" spans="1:1">
      <c r="A365" s="443" t="s">
        <v>745</v>
      </c>
    </row>
    <row r="366" spans="1:1">
      <c r="A366" s="443" t="s">
        <v>746</v>
      </c>
    </row>
    <row r="367" spans="1:1">
      <c r="A367" s="443" t="s">
        <v>747</v>
      </c>
    </row>
    <row r="368" spans="1:1">
      <c r="A368" s="443" t="s">
        <v>748</v>
      </c>
    </row>
    <row r="369" spans="1:1">
      <c r="A369" s="443" t="s">
        <v>749</v>
      </c>
    </row>
    <row r="370" spans="1:1">
      <c r="A370" s="443" t="s">
        <v>750</v>
      </c>
    </row>
    <row r="371" spans="1:1">
      <c r="A371" s="443" t="s">
        <v>751</v>
      </c>
    </row>
    <row r="372" spans="1:1">
      <c r="A372" s="443" t="s">
        <v>752</v>
      </c>
    </row>
    <row r="373" spans="1:1">
      <c r="A373" s="443" t="s">
        <v>753</v>
      </c>
    </row>
    <row r="374" spans="1:1">
      <c r="A374" s="443" t="s">
        <v>754</v>
      </c>
    </row>
    <row r="375" spans="1:1">
      <c r="A375" s="443" t="s">
        <v>755</v>
      </c>
    </row>
    <row r="376" spans="1:1">
      <c r="A376" s="443" t="s">
        <v>756</v>
      </c>
    </row>
    <row r="377" spans="1:1">
      <c r="A377" s="443" t="s">
        <v>757</v>
      </c>
    </row>
    <row r="378" spans="1:1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 tint="-0.249977111117893"/>
    <pageSetUpPr autoPageBreaks="0"/>
  </sheetPr>
  <dimension ref="A1:AE53"/>
  <sheetViews>
    <sheetView showGridLines="0" showRowColHeaders="0" topLeftCell="A13" zoomScaleNormal="100" workbookViewId="0"/>
  </sheetViews>
  <sheetFormatPr defaultColWidth="0" defaultRowHeight="0" customHeight="1" zeroHeight="1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>
      <c r="B2" s="2"/>
      <c r="C2" s="2"/>
      <c r="E2" s="6"/>
    </row>
    <row r="3" spans="1:19" ht="15.75" customHeight="1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149999999999999" customHeight="1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>
      <c r="B11" s="2"/>
      <c r="C11" s="2"/>
    </row>
    <row r="12" spans="1:19" ht="16.5" customHeight="1">
      <c r="B12" s="2"/>
      <c r="C12" s="2"/>
    </row>
    <row r="13" spans="1:19" ht="16.5" customHeight="1">
      <c r="B13" s="2"/>
      <c r="C13" s="2"/>
    </row>
    <row r="14" spans="1:19" ht="16.5" customHeight="1">
      <c r="B14" s="2"/>
      <c r="C14" s="2"/>
    </row>
    <row r="15" spans="1:19" ht="16.5" customHeight="1">
      <c r="B15" s="2"/>
      <c r="C15" s="2"/>
    </row>
    <row r="16" spans="1:19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89.45" customHeight="1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8.600000000000001" customHeight="1"/>
    <row r="53" ht="15" hidden="1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 tint="-0.249977111117893"/>
  </sheetPr>
  <dimension ref="A1:AE53"/>
  <sheetViews>
    <sheetView showGridLines="0" showRowColHeaders="0" zoomScaleNormal="100" workbookViewId="0">
      <selection activeCell="G37" sqref="G37"/>
    </sheetView>
  </sheetViews>
  <sheetFormatPr defaultColWidth="0" defaultRowHeight="0" customHeight="1" zeroHeight="1"/>
  <cols>
    <col min="1" max="3" width="2.140625" style="395" customWidth="1"/>
    <col min="4" max="4" width="18.7109375" style="395" customWidth="1"/>
    <col min="5" max="8" width="9.140625" style="395" customWidth="1"/>
    <col min="9" max="9" width="7" style="395" customWidth="1"/>
    <col min="10" max="12" width="9.140625" style="395" customWidth="1"/>
    <col min="13" max="13" width="12.140625" style="395" customWidth="1"/>
    <col min="14" max="14" width="5.7109375" style="395" customWidth="1"/>
    <col min="15" max="15" width="9.140625" style="395" customWidth="1"/>
    <col min="16" max="16" width="34.5703125" style="395" customWidth="1"/>
    <col min="17" max="17" width="13.7109375" style="395" bestFit="1" customWidth="1"/>
    <col min="18" max="18" width="19.28515625" style="395" customWidth="1"/>
    <col min="19" max="31" width="9.140625" style="395" customWidth="1"/>
    <col min="32" max="16384" width="9.140625" style="395" hidden="1"/>
  </cols>
  <sheetData>
    <row r="1" spans="1:18" ht="15.75" customHeight="1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>
      <c r="B2" s="396"/>
      <c r="C2" s="396"/>
      <c r="E2" s="397"/>
    </row>
    <row r="3" spans="1:18" ht="15.75" customHeight="1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>
      <c r="B11" s="396"/>
      <c r="C11" s="396"/>
    </row>
    <row r="12" spans="1:18" ht="16.5" customHeight="1">
      <c r="B12" s="396"/>
      <c r="C12" s="396"/>
    </row>
    <row r="13" spans="1:18" ht="16.5" customHeight="1">
      <c r="B13" s="396"/>
      <c r="C13" s="396"/>
    </row>
    <row r="14" spans="1:18" ht="16.5" customHeight="1">
      <c r="B14" s="396"/>
      <c r="C14" s="396"/>
    </row>
    <row r="15" spans="1:18" ht="16.5" customHeight="1">
      <c r="B15" s="396"/>
      <c r="C15" s="396"/>
    </row>
    <row r="16" spans="1:1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5"/>
    <row r="28" ht="15"/>
    <row r="29" ht="15"/>
    <row r="30" ht="15"/>
    <row r="31" ht="15"/>
    <row r="32" ht="15"/>
    <row r="33" ht="15"/>
    <row r="34" ht="15"/>
    <row r="35" ht="15"/>
    <row r="36" ht="15"/>
    <row r="37" ht="15"/>
    <row r="38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ht="15"/>
    <row r="50" ht="15"/>
    <row r="51" ht="15"/>
    <row r="52" ht="15"/>
    <row r="53" ht="15" hidden="1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249977111117893"/>
  </sheetPr>
  <dimension ref="A1:AY109"/>
  <sheetViews>
    <sheetView showGridLines="0" showRowColHeaders="0" zoomScale="70" zoomScaleNormal="70" workbookViewId="0"/>
  </sheetViews>
  <sheetFormatPr defaultColWidth="0" defaultRowHeight="15" zeroHeight="1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/>
    <row r="2" spans="2:22" ht="19.149999999999999" customHeight="1" thickBot="1">
      <c r="B2" s="884" t="str">
        <f>IF(Start!$F$12="","",Start!$F$12)</f>
        <v>Cotmoor Solar farm</v>
      </c>
      <c r="C2" s="885"/>
      <c r="D2" s="886"/>
    </row>
    <row r="3" spans="2:22" ht="15.75" customHeight="1">
      <c r="B3" s="878" t="str">
        <f ca="1">MID(CELL("filename",A1),FIND("]",CELL("filename",A1))+1,256)</f>
        <v>Headline Results</v>
      </c>
      <c r="C3" s="879"/>
      <c r="D3" s="880"/>
    </row>
    <row r="4" spans="2:22" ht="15.75" customHeight="1" thickBot="1">
      <c r="B4" s="881"/>
      <c r="C4" s="882"/>
      <c r="D4" s="883"/>
    </row>
    <row r="5" spans="2:22" ht="9.9499999999999993" customHeight="1"/>
    <row r="6" spans="2:22" ht="9.9499999999999993" customHeight="1">
      <c r="B6" s="867"/>
      <c r="C6" s="867"/>
      <c r="K6" s="27"/>
      <c r="L6" s="27"/>
      <c r="M6" s="27"/>
      <c r="N6" s="27"/>
    </row>
    <row r="7" spans="2:22" ht="9.9499999999999993" customHeight="1" thickBot="1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>
      <c r="B8" s="849" t="s">
        <v>972</v>
      </c>
      <c r="C8" s="850"/>
      <c r="D8" s="850"/>
      <c r="E8" s="850"/>
      <c r="F8" s="826" t="s">
        <v>979</v>
      </c>
      <c r="G8" s="827"/>
      <c r="H8" s="874">
        <f>IFERROR('A-1 Site Habitat Baseline'!Q259,"Check Data")</f>
        <v>228.08799999999994</v>
      </c>
      <c r="I8" s="87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>
      <c r="B9" s="852"/>
      <c r="C9" s="869"/>
      <c r="D9" s="869"/>
      <c r="E9" s="869"/>
      <c r="F9" s="830" t="s">
        <v>980</v>
      </c>
      <c r="G9" s="831"/>
      <c r="H9" s="876">
        <f>IFERROR('B-1 Site Hedge Baseline'!N258,"Check Data")</f>
        <v>40.479999999999997</v>
      </c>
      <c r="I9" s="877"/>
      <c r="K9" s="27"/>
      <c r="L9" s="27"/>
      <c r="M9" s="27"/>
      <c r="N9" s="27"/>
    </row>
    <row r="10" spans="2:22" ht="21.95" customHeight="1" thickBot="1">
      <c r="B10" s="855"/>
      <c r="C10" s="856"/>
      <c r="D10" s="856"/>
      <c r="E10" s="856"/>
      <c r="F10" s="834" t="s">
        <v>973</v>
      </c>
      <c r="G10" s="862"/>
      <c r="H10" s="863">
        <f>'C-1 Site River Baseline'!R258</f>
        <v>0</v>
      </c>
      <c r="I10" s="864"/>
      <c r="K10" s="27"/>
      <c r="L10" s="27"/>
      <c r="M10" s="27"/>
      <c r="N10" s="27"/>
    </row>
    <row r="11" spans="2:22" ht="4.5" customHeight="1" thickBot="1">
      <c r="H11" s="506"/>
      <c r="I11" s="506"/>
      <c r="K11" s="27"/>
      <c r="L11" s="27"/>
      <c r="M11" s="27"/>
      <c r="N11" s="27"/>
    </row>
    <row r="12" spans="2:22" ht="21.95" customHeight="1">
      <c r="B12" s="849" t="s">
        <v>1512</v>
      </c>
      <c r="C12" s="850"/>
      <c r="D12" s="850"/>
      <c r="E12" s="851"/>
      <c r="F12" s="826" t="s">
        <v>979</v>
      </c>
      <c r="G12" s="827"/>
      <c r="H12" s="858">
        <f ca="1">IFERROR('A-2 Site Habitat Creation'!Y257+'A-3 Site Habitat Enhancement'!AN258+'A-1 Site Habitat Baseline'!U259,"Check Data")</f>
        <v>437.32648158297593</v>
      </c>
      <c r="I12" s="859"/>
      <c r="K12" s="27"/>
      <c r="L12" s="27"/>
      <c r="M12" s="27"/>
      <c r="N12" s="27"/>
      <c r="U12" s="867"/>
      <c r="V12" s="867"/>
    </row>
    <row r="13" spans="2:22" ht="21.95" customHeight="1">
      <c r="B13" s="852"/>
      <c r="C13" s="853"/>
      <c r="D13" s="853"/>
      <c r="E13" s="854"/>
      <c r="F13" s="830" t="s">
        <v>980</v>
      </c>
      <c r="G13" s="831"/>
      <c r="H13" s="868">
        <f ca="1">IFERROR('B-2 Site Hedge Creation'!W260+'B-3 Site Hedge Enhancement'!AH258+'B-1 Site Hedge Baseline'!R258,"Check Data")</f>
        <v>53.414954985903996</v>
      </c>
      <c r="I13" s="861"/>
      <c r="K13" s="27"/>
      <c r="L13" s="27"/>
      <c r="M13" s="27"/>
      <c r="N13" s="27"/>
      <c r="U13" s="867"/>
      <c r="V13" s="867"/>
    </row>
    <row r="14" spans="2:22" ht="21.95" customHeight="1" thickBot="1">
      <c r="B14" s="855"/>
      <c r="C14" s="856"/>
      <c r="D14" s="856"/>
      <c r="E14" s="857"/>
      <c r="F14" s="834" t="s">
        <v>973</v>
      </c>
      <c r="G14" s="862"/>
      <c r="H14" s="863">
        <f>IFERROR('C-2 Site River Creation'!Z260 + 'C-3 Site River Enhancement'!AM258+'C-1 Site River Baseline'!V258,"Check Data")</f>
        <v>0</v>
      </c>
      <c r="I14" s="864"/>
      <c r="K14" s="27"/>
      <c r="L14" s="27"/>
      <c r="M14" s="27"/>
      <c r="N14" s="27"/>
    </row>
    <row r="15" spans="2:22" ht="4.5" customHeight="1" thickBot="1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5" customHeight="1">
      <c r="B16" s="849" t="s">
        <v>1511</v>
      </c>
      <c r="C16" s="850"/>
      <c r="D16" s="850"/>
      <c r="E16" s="851"/>
      <c r="F16" s="826" t="s">
        <v>979</v>
      </c>
      <c r="G16" s="827"/>
      <c r="H16" s="828">
        <f ca="1">IF(H12=0,0,IF(AND(H8=0,H12&gt;0),1,IFERROR((H12/H8)-1,"Check Data")))</f>
        <v>0.91735857030170842</v>
      </c>
      <c r="I16" s="829"/>
      <c r="J16" s="770"/>
      <c r="K16" s="761"/>
      <c r="L16" s="761"/>
      <c r="M16" s="761"/>
      <c r="N16" s="761"/>
    </row>
    <row r="17" spans="2:14" ht="21.95" customHeight="1">
      <c r="B17" s="852"/>
      <c r="C17" s="853"/>
      <c r="D17" s="853"/>
      <c r="E17" s="854"/>
      <c r="F17" s="830" t="s">
        <v>980</v>
      </c>
      <c r="G17" s="831"/>
      <c r="H17" s="832">
        <f ca="1">IF(H13=0,0,IF(AND(H9=0,H13&gt;0),1,IFERROR((H13/H9)-1,"Check Data")))</f>
        <v>0.31953940182569163</v>
      </c>
      <c r="I17" s="833"/>
      <c r="K17" s="761"/>
      <c r="L17" s="761"/>
      <c r="M17" s="761"/>
      <c r="N17" s="761"/>
    </row>
    <row r="18" spans="2:14" ht="21.95" customHeight="1" thickBot="1">
      <c r="B18" s="855"/>
      <c r="C18" s="856"/>
      <c r="D18" s="856"/>
      <c r="E18" s="857"/>
      <c r="F18" s="834" t="s">
        <v>973</v>
      </c>
      <c r="G18" s="835"/>
      <c r="H18" s="836">
        <f>IF(H14=0,0,IF(AND(H10=0,H14&gt;0),1,IFERROR((H14/H10)-1,"Check Data")))</f>
        <v>0</v>
      </c>
      <c r="I18" s="837"/>
      <c r="K18" s="761"/>
      <c r="L18" s="761"/>
      <c r="M18" s="761"/>
      <c r="N18" s="761"/>
    </row>
    <row r="19" spans="2:14" ht="24.95" customHeight="1" thickBot="1">
      <c r="H19" s="506"/>
      <c r="I19" s="506"/>
      <c r="K19" s="27"/>
      <c r="L19" s="27"/>
      <c r="M19" s="27"/>
      <c r="N19" s="27"/>
    </row>
    <row r="20" spans="2:14" ht="21.95" customHeight="1">
      <c r="B20" s="849" t="s">
        <v>974</v>
      </c>
      <c r="C20" s="850"/>
      <c r="D20" s="850"/>
      <c r="E20" s="850"/>
      <c r="F20" s="826" t="s">
        <v>979</v>
      </c>
      <c r="G20" s="827"/>
      <c r="H20" s="870">
        <f>IFERROR('D-1 Off Site Habitat Baseline'!Q259,"Check Data")</f>
        <v>0</v>
      </c>
      <c r="I20" s="871"/>
      <c r="K20" s="27"/>
      <c r="L20" s="27"/>
      <c r="M20" s="27"/>
      <c r="N20" s="27"/>
    </row>
    <row r="21" spans="2:14" ht="21.95" customHeight="1">
      <c r="B21" s="852"/>
      <c r="C21" s="869"/>
      <c r="D21" s="869"/>
      <c r="E21" s="869"/>
      <c r="F21" s="830" t="s">
        <v>980</v>
      </c>
      <c r="G21" s="831"/>
      <c r="H21" s="872">
        <f>IFERROR('E-1 Off Site Hedge Baseline'!N258,"Check Data")</f>
        <v>0</v>
      </c>
      <c r="I21" s="873"/>
      <c r="K21" s="27"/>
      <c r="L21" s="27"/>
      <c r="M21" s="27"/>
      <c r="N21" s="27"/>
    </row>
    <row r="22" spans="2:14" ht="21.95" customHeight="1" thickBot="1">
      <c r="B22" s="855"/>
      <c r="C22" s="856"/>
      <c r="D22" s="856"/>
      <c r="E22" s="856"/>
      <c r="F22" s="834" t="s">
        <v>973</v>
      </c>
      <c r="G22" s="862"/>
      <c r="H22" s="865">
        <f>IFERROR('F-1 Off Site River Baseline'!R258,"Check Data")</f>
        <v>0</v>
      </c>
      <c r="I22" s="866"/>
      <c r="K22" s="27"/>
      <c r="L22" s="27"/>
      <c r="M22" s="27"/>
      <c r="N22" s="27"/>
    </row>
    <row r="23" spans="2:14" ht="4.5" customHeight="1" thickBot="1">
      <c r="H23" s="506"/>
      <c r="I23" s="506"/>
      <c r="K23" s="27"/>
      <c r="L23" s="27"/>
      <c r="M23" s="27"/>
      <c r="N23" s="27"/>
    </row>
    <row r="24" spans="2:14" ht="21.95" customHeight="1">
      <c r="B24" s="849" t="s">
        <v>1513</v>
      </c>
      <c r="C24" s="850"/>
      <c r="D24" s="850"/>
      <c r="E24" s="851"/>
      <c r="F24" s="826" t="s">
        <v>979</v>
      </c>
      <c r="G24" s="827"/>
      <c r="H24" s="858">
        <f>IFERROR('D-1 Off Site Habitat Baseline'!$U$259+'D-2 Off Site Habitat Creation'!AA257+'D-3 Off Site Habitat Enhancment'!AP259,"Check Data")</f>
        <v>0</v>
      </c>
      <c r="I24" s="859"/>
      <c r="K24" s="27"/>
      <c r="L24" s="27"/>
      <c r="M24" s="27"/>
      <c r="N24" s="27"/>
    </row>
    <row r="25" spans="2:14" ht="21.95" customHeight="1">
      <c r="B25" s="852"/>
      <c r="C25" s="853"/>
      <c r="D25" s="853"/>
      <c r="E25" s="854"/>
      <c r="F25" s="830" t="s">
        <v>980</v>
      </c>
      <c r="G25" s="831"/>
      <c r="H25" s="860">
        <f>IFERROR('E-1 Off Site Hedge Baseline'!R258+'E-2 Off Site Hedge Creation'!Y260+'E-3 Off Site Hedge Enhancement'!AJ258,"Check Data")</f>
        <v>0</v>
      </c>
      <c r="I25" s="861"/>
      <c r="K25" s="27"/>
      <c r="L25" s="27"/>
      <c r="M25" s="27"/>
      <c r="N25" s="27"/>
    </row>
    <row r="26" spans="2:14" ht="21.95" customHeight="1" thickBot="1">
      <c r="B26" s="855"/>
      <c r="C26" s="856"/>
      <c r="D26" s="856"/>
      <c r="E26" s="857"/>
      <c r="F26" s="834" t="s">
        <v>973</v>
      </c>
      <c r="G26" s="862"/>
      <c r="H26" s="863">
        <f>IFERROR('F-1 Off Site River Baseline'!V258+'F-2 Off Site River Creation'!AB260+'F-3 Off Site River Enhancement'!AO258,"Check Data")</f>
        <v>0</v>
      </c>
      <c r="I26" s="864"/>
      <c r="K26" s="27"/>
      <c r="L26" s="27"/>
      <c r="M26" s="27"/>
      <c r="N26" s="27"/>
    </row>
    <row r="27" spans="2:14" ht="24.95" customHeight="1" thickBot="1">
      <c r="H27" s="506"/>
      <c r="I27" s="506"/>
      <c r="K27" s="27"/>
      <c r="L27" s="27"/>
      <c r="M27" s="27"/>
      <c r="N27" s="27"/>
    </row>
    <row r="28" spans="2:14" ht="21.95" customHeight="1">
      <c r="B28" s="849" t="s">
        <v>1514</v>
      </c>
      <c r="C28" s="850"/>
      <c r="D28" s="850"/>
      <c r="E28" s="851"/>
      <c r="F28" s="826" t="s">
        <v>979</v>
      </c>
      <c r="G28" s="827"/>
      <c r="H28" s="858">
        <f ca="1">IFERROR((H12-H8)+((H24-H20)),"Check Data")</f>
        <v>209.23848158297599</v>
      </c>
      <c r="I28" s="859"/>
      <c r="J28" s="844"/>
      <c r="K28" s="845"/>
      <c r="L28" s="27"/>
      <c r="M28" s="27"/>
      <c r="N28" s="27"/>
    </row>
    <row r="29" spans="2:14" ht="21.95" customHeight="1">
      <c r="B29" s="852"/>
      <c r="C29" s="853"/>
      <c r="D29" s="853"/>
      <c r="E29" s="854"/>
      <c r="F29" s="830" t="s">
        <v>980</v>
      </c>
      <c r="G29" s="831"/>
      <c r="H29" s="860">
        <f ca="1">IFERROR((H13-H9)+((H25-H21)),"Check Data")</f>
        <v>12.934954985904</v>
      </c>
      <c r="I29" s="861"/>
      <c r="J29" s="844"/>
      <c r="K29" s="845"/>
      <c r="L29" s="27"/>
      <c r="M29" s="27"/>
      <c r="N29" s="27"/>
    </row>
    <row r="30" spans="2:14" ht="21.95" customHeight="1" thickBot="1">
      <c r="B30" s="855"/>
      <c r="C30" s="856"/>
      <c r="D30" s="856"/>
      <c r="E30" s="857"/>
      <c r="F30" s="834" t="s">
        <v>973</v>
      </c>
      <c r="G30" s="862"/>
      <c r="H30" s="863">
        <f>IFERROR((H14-H10)+((H26-H22)),"Check Data")</f>
        <v>0</v>
      </c>
      <c r="I30" s="864"/>
      <c r="J30" s="844"/>
      <c r="K30" s="845"/>
      <c r="L30" s="27"/>
      <c r="M30" s="27"/>
      <c r="N30" s="27"/>
    </row>
    <row r="31" spans="2:14" ht="4.5" customHeight="1" thickBot="1">
      <c r="H31" s="507"/>
      <c r="I31" s="507"/>
      <c r="K31" s="27"/>
      <c r="L31" s="27"/>
      <c r="M31" s="27"/>
      <c r="N31" s="27"/>
    </row>
    <row r="32" spans="2:14" ht="21.95" customHeight="1">
      <c r="B32" s="849" t="s">
        <v>1515</v>
      </c>
      <c r="C32" s="850"/>
      <c r="D32" s="850"/>
      <c r="E32" s="851"/>
      <c r="F32" s="826" t="s">
        <v>979</v>
      </c>
      <c r="G32" s="827"/>
      <c r="H32" s="828">
        <f ca="1">IF(H28=0,0,IF(AND(H8=0,H20=0,H28&gt;0),1,IFERROR((H28/H8),"Check Data")))</f>
        <v>0.91735857030170831</v>
      </c>
      <c r="I32" s="829"/>
      <c r="J32" s="844"/>
      <c r="K32" s="845"/>
      <c r="L32" s="27"/>
      <c r="M32" s="27"/>
      <c r="N32" s="27"/>
    </row>
    <row r="33" spans="1:33" ht="21.95" customHeight="1">
      <c r="A33" s="31"/>
      <c r="B33" s="852"/>
      <c r="C33" s="853"/>
      <c r="D33" s="853"/>
      <c r="E33" s="854"/>
      <c r="F33" s="830" t="s">
        <v>980</v>
      </c>
      <c r="G33" s="831"/>
      <c r="H33" s="832">
        <f ca="1">IF(H29=0,0,IF(AND(H9=0,H21=0,H29&gt;0),1,IFERROR((H29/H9),"Check Data")))</f>
        <v>0.31953940182569174</v>
      </c>
      <c r="I33" s="833"/>
      <c r="J33" s="844"/>
      <c r="K33" s="845"/>
      <c r="L33" s="27"/>
      <c r="M33" s="27"/>
      <c r="N33" s="27"/>
    </row>
    <row r="34" spans="1:33" ht="21.95" customHeight="1" thickBot="1">
      <c r="A34" s="31"/>
      <c r="B34" s="855"/>
      <c r="C34" s="856"/>
      <c r="D34" s="856"/>
      <c r="E34" s="857"/>
      <c r="F34" s="834" t="s">
        <v>973</v>
      </c>
      <c r="G34" s="835"/>
      <c r="H34" s="836">
        <f>IF(H30=0,0,IF(AND(H10=0,H22=0,H30&gt;0),1,IFERROR((H30/H10),"Check Data")))</f>
        <v>0</v>
      </c>
      <c r="I34" s="837"/>
      <c r="J34" s="846"/>
      <c r="K34" s="847"/>
      <c r="L34" s="27"/>
      <c r="M34" s="27"/>
      <c r="N34" s="27"/>
    </row>
    <row r="35" spans="1:33" ht="24.95" customHeight="1" thickBot="1">
      <c r="B35" s="848"/>
      <c r="C35" s="848"/>
      <c r="D35" s="848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>
      <c r="B36" s="838" t="s">
        <v>1503</v>
      </c>
      <c r="C36" s="839"/>
      <c r="D36" s="839"/>
      <c r="E36" s="840"/>
      <c r="F36" s="841" t="str">
        <f ca="1">IF(OR('Trading Summary'!G5="No",'Trading Summary'!G6="No",'Trading Summary'!G7="No",'Trading Summary'!G8="No"),"No - Check Trading Summary","Yes")</f>
        <v>Yes</v>
      </c>
      <c r="G36" s="842"/>
      <c r="H36" s="842"/>
      <c r="I36" s="843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/>
    <row r="46" spans="1:33" ht="15.75" hidden="1" customHeight="1"/>
    <row r="47" spans="1:33" ht="15.75" hidden="1" customHeight="1"/>
    <row r="48" spans="1:33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90" ht="21.6" hidden="1" customHeight="1"/>
    <row r="103" ht="64.900000000000006" hidden="1" customHeight="1"/>
    <row r="106" ht="29.45" hidden="1" customHeight="1"/>
    <row r="109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AG214"/>
  <sheetViews>
    <sheetView zoomScaleNormal="100" workbookViewId="0"/>
  </sheetViews>
  <sheetFormatPr defaultColWidth="8.85546875" defaultRowHeight="15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/>
    <row r="2" spans="2:19" ht="22.15" customHeight="1" thickBot="1">
      <c r="B2" s="901" t="str">
        <f>IF(Start!$F$12="","",Start!$F$12)</f>
        <v>Cotmoor Solar farm</v>
      </c>
      <c r="C2" s="902"/>
      <c r="D2" s="903"/>
    </row>
    <row r="3" spans="2:19" ht="19.899999999999999" customHeight="1">
      <c r="B3" s="878" t="str">
        <f ca="1">MID(CELL("filename",A1),FIND("]",CELL("filename",A1))+1,256)</f>
        <v>Detailed Results</v>
      </c>
      <c r="C3" s="879"/>
      <c r="D3" s="880"/>
    </row>
    <row r="4" spans="2:19" ht="21.6" customHeight="1" thickBot="1">
      <c r="B4" s="881"/>
      <c r="C4" s="882"/>
      <c r="D4" s="883"/>
    </row>
    <row r="5" spans="2:19" ht="15.75" customHeight="1"/>
    <row r="6" spans="2:19" ht="25.5" customHeight="1" thickBot="1"/>
    <row r="7" spans="2:19" ht="18.75" customHeight="1">
      <c r="B7" s="918" t="s">
        <v>796</v>
      </c>
      <c r="C7" s="919"/>
    </row>
    <row r="8" spans="2:19" ht="20.25" customHeight="1" thickBot="1">
      <c r="B8" s="920"/>
      <c r="C8" s="921"/>
    </row>
    <row r="9" spans="2:19" ht="15.75" customHeight="1" thickBot="1">
      <c r="B9" s="36"/>
      <c r="C9" s="36"/>
      <c r="O9" s="37"/>
      <c r="Q9" s="37"/>
      <c r="R9" s="37"/>
    </row>
    <row r="10" spans="2:19" ht="18" customHeight="1">
      <c r="B10" s="849" t="s">
        <v>1315</v>
      </c>
      <c r="C10" s="850"/>
      <c r="D10" s="850"/>
      <c r="E10" s="851"/>
      <c r="F10" s="924" t="s">
        <v>979</v>
      </c>
      <c r="G10" s="925"/>
      <c r="H10" s="922">
        <f ca="1">IFERROR('Headline Results'!$H$28:$I$28,"Check Data")</f>
        <v>209.23848158297599</v>
      </c>
      <c r="I10" s="923"/>
      <c r="J10" s="38"/>
      <c r="O10" s="37"/>
      <c r="P10" s="37"/>
      <c r="Q10" s="37"/>
      <c r="R10" s="37"/>
      <c r="S10" s="37"/>
    </row>
    <row r="11" spans="2:19" ht="15.75" customHeight="1">
      <c r="B11" s="852"/>
      <c r="C11" s="853"/>
      <c r="D11" s="853"/>
      <c r="E11" s="854"/>
      <c r="F11" s="928" t="s">
        <v>980</v>
      </c>
      <c r="G11" s="935"/>
      <c r="H11" s="933">
        <f ca="1">IFERROR('Headline Results'!$H$29:$I$29,"Check Data")</f>
        <v>12.934954985904</v>
      </c>
      <c r="I11" s="934"/>
    </row>
    <row r="12" spans="2:19" ht="18.600000000000001" customHeight="1" thickBot="1">
      <c r="B12" s="855"/>
      <c r="C12" s="856"/>
      <c r="D12" s="856"/>
      <c r="E12" s="857"/>
      <c r="F12" s="904" t="s">
        <v>973</v>
      </c>
      <c r="G12" s="905"/>
      <c r="H12" s="912">
        <f>IFERROR('Headline Results'!$H$30:$I$30,"Check Data")</f>
        <v>0</v>
      </c>
      <c r="I12" s="913"/>
    </row>
    <row r="13" spans="2:19" ht="15.75" customHeight="1" thickBot="1"/>
    <row r="14" spans="2:19" ht="18.75" customHeight="1">
      <c r="B14" s="849" t="s">
        <v>1316</v>
      </c>
      <c r="C14" s="850"/>
      <c r="D14" s="850"/>
      <c r="E14" s="851"/>
      <c r="F14" s="924" t="s">
        <v>979</v>
      </c>
      <c r="G14" s="932"/>
      <c r="H14" s="930">
        <f ca="1">IFERROR('Headline Results'!$H$32:$I$32,"Check Data")</f>
        <v>0.91735857030170831</v>
      </c>
      <c r="I14" s="931"/>
    </row>
    <row r="15" spans="2:19" ht="18.75" customHeight="1">
      <c r="B15" s="852"/>
      <c r="C15" s="853"/>
      <c r="D15" s="853"/>
      <c r="E15" s="854"/>
      <c r="F15" s="928" t="s">
        <v>980</v>
      </c>
      <c r="G15" s="929"/>
      <c r="H15" s="926">
        <f ca="1">IFERROR('Headline Results'!$H$33:$I$33,"Check Data")</f>
        <v>0.31953940182569174</v>
      </c>
      <c r="I15" s="927"/>
    </row>
    <row r="16" spans="2:19" ht="18.75" customHeight="1" thickBot="1">
      <c r="B16" s="855"/>
      <c r="C16" s="856"/>
      <c r="D16" s="856"/>
      <c r="E16" s="857"/>
      <c r="F16" s="904" t="s">
        <v>973</v>
      </c>
      <c r="G16" s="938"/>
      <c r="H16" s="936">
        <f>IFERROR('Headline Results'!$H$34:$I$34,"Check Data")</f>
        <v>0</v>
      </c>
      <c r="I16" s="937"/>
    </row>
    <row r="17" spans="2:9" ht="18.75" customHeight="1" thickBot="1"/>
    <row r="18" spans="2:9" ht="25.5" customHeight="1">
      <c r="B18" s="942" t="s">
        <v>1351</v>
      </c>
      <c r="C18" s="942"/>
      <c r="D18" s="942"/>
      <c r="E18" s="942"/>
      <c r="F18" s="942"/>
      <c r="G18" s="942"/>
      <c r="H18" s="942"/>
      <c r="I18" s="942"/>
    </row>
    <row r="19" spans="2:9" ht="22.5" customHeight="1" thickBot="1">
      <c r="B19" s="943"/>
      <c r="C19" s="943"/>
      <c r="D19" s="943"/>
      <c r="E19" s="943"/>
      <c r="F19" s="943"/>
      <c r="G19" s="943"/>
      <c r="H19" s="943"/>
      <c r="I19" s="943"/>
    </row>
    <row r="20" spans="2:9" ht="18.75" customHeight="1" thickBot="1">
      <c r="B20" s="946"/>
      <c r="C20" s="946"/>
      <c r="D20" s="941" t="s">
        <v>797</v>
      </c>
      <c r="E20" s="941"/>
      <c r="F20" s="941" t="s">
        <v>805</v>
      </c>
      <c r="G20" s="941"/>
      <c r="H20" s="941" t="s">
        <v>798</v>
      </c>
      <c r="I20" s="941"/>
    </row>
    <row r="21" spans="2:9" ht="18.75" customHeight="1">
      <c r="B21" s="947" t="s">
        <v>1516</v>
      </c>
      <c r="C21" s="948"/>
      <c r="D21" s="939">
        <f>IF(AND($K$40=0,'A-1 Site Habitat Baseline'!Y11:Y258&lt;&gt;"No",'D-1 Off Site Habitat Baseline'!Y11:Y258&lt;&gt;"No"),'A-1 Site Habitat Baseline'!$H259+'D-1 Off Site Habitat Baseline'!H259,"Error")</f>
        <v>105.01</v>
      </c>
      <c r="E21" s="939"/>
      <c r="F21" s="944">
        <f>'B-1 Site Hedge Baseline'!$E$258+'E-1 Off Site Hedge Baseline'!$E$258</f>
        <v>8.33</v>
      </c>
      <c r="G21" s="944"/>
      <c r="H21" s="944">
        <f>'C-1 Site River Baseline'!$E$258+'F-1 Off Site River Baseline'!$E$258</f>
        <v>0</v>
      </c>
      <c r="I21" s="951"/>
    </row>
    <row r="22" spans="2:9" ht="18.75" customHeight="1" thickBot="1">
      <c r="B22" s="949" t="s">
        <v>1038</v>
      </c>
      <c r="C22" s="950"/>
      <c r="D22" s="940">
        <f>IF(AND($K$40=0,'A-1 Site Habitat Baseline'!Y11:Y258&lt;&gt;"No",'D-1 Off Site Habitat Baseline'!Y11:Y258&lt;&gt;"No"),'A-1 Site Habitat Baseline'!$Q259+'D-1 Off Site Habitat Baseline'!Q259,"Error")</f>
        <v>228.08799999999994</v>
      </c>
      <c r="E22" s="940"/>
      <c r="F22" s="945">
        <f>'B-1 Site Hedge Baseline'!$N$258+'E-1 Off Site Hedge Baseline'!$N$258</f>
        <v>40.479999999999997</v>
      </c>
      <c r="G22" s="945"/>
      <c r="H22" s="945">
        <f>'C-1 Site River Baseline'!$R$258+'F-1 Off Site River Baseline'!$R$258</f>
        <v>0</v>
      </c>
      <c r="I22" s="952"/>
    </row>
    <row r="23" spans="2:9" ht="18.75" customHeight="1" thickBot="1">
      <c r="D23" s="38"/>
      <c r="F23" s="38"/>
      <c r="H23" s="38"/>
    </row>
    <row r="24" spans="2:9" ht="18.75" customHeight="1">
      <c r="B24" s="947" t="s">
        <v>1068</v>
      </c>
      <c r="C24" s="948"/>
      <c r="D24" s="939">
        <f>IF(AND($K$40=0,'A-1 Site Habitat Baseline'!Y11:Y258&lt;&gt;"No",'D-1 Off Site Habitat Baseline'!Y11:Y258&lt;&gt;"No"),'A-1 Site Habitat Baseline'!$S259+'D-1 Off Site Habitat Baseline'!S259,"Error")</f>
        <v>3.0300000000000002</v>
      </c>
      <c r="E24" s="939"/>
      <c r="F24" s="944">
        <f>'B-1 Site Hedge Baseline'!$P$258+'E-1 Off Site Hedge Baseline'!$P$258</f>
        <v>7.07</v>
      </c>
      <c r="G24" s="944"/>
      <c r="H24" s="944">
        <f>'C-1 Site River Baseline'!T258+'F-1 Off Site River Baseline'!T258</f>
        <v>0</v>
      </c>
      <c r="I24" s="951"/>
    </row>
    <row r="25" spans="2:9" ht="18.75" customHeight="1" thickBot="1">
      <c r="B25" s="949" t="s">
        <v>142</v>
      </c>
      <c r="C25" s="950"/>
      <c r="D25" s="940">
        <f>IF(AND($K$40=0,'A-1 Site Habitat Baseline'!Y11:Y258&lt;&gt;"No",'D-1 Off Site Habitat Baseline'!Y11:Y258&lt;&gt;"No"),'A-1 Site Habitat Baseline'!$U259+'D-1 Off Site Habitat Baseline'!U259,"Error")</f>
        <v>20.267999999999997</v>
      </c>
      <c r="E25" s="940"/>
      <c r="F25" s="945">
        <f>'B-1 Site Hedge Baseline'!R258+'E-1 Off Site Hedge Baseline'!R258</f>
        <v>35.44</v>
      </c>
      <c r="G25" s="945"/>
      <c r="H25" s="945">
        <f>'C-1 Site River Baseline'!V258+'F-1 Off Site River Baseline'!V258</f>
        <v>0</v>
      </c>
      <c r="I25" s="952"/>
    </row>
    <row r="26" spans="2:9" ht="18.75" customHeight="1" thickBot="1">
      <c r="D26" s="38"/>
      <c r="F26" s="38"/>
      <c r="H26" s="38"/>
    </row>
    <row r="27" spans="2:9" ht="18.75" customHeight="1">
      <c r="B27" s="947" t="s">
        <v>1454</v>
      </c>
      <c r="C27" s="948"/>
      <c r="D27" s="939">
        <f>IF(AND($K$40=0,'A-1 Site Habitat Baseline'!Y11:Y258&lt;&gt;"No",'D-1 Off Site Habitat Baseline'!Y11:Y258&lt;&gt;"No"),'A-1 Site Habitat Baseline'!$T259+'D-1 Off Site Habitat Baseline'!T259,"Error")</f>
        <v>0.47</v>
      </c>
      <c r="E27" s="939"/>
      <c r="F27" s="944">
        <f>'B-1 Site Hedge Baseline'!$Q$258+'E-1 Off Site Hedge Baseline'!$Q$258</f>
        <v>1.2599999999999998</v>
      </c>
      <c r="G27" s="944"/>
      <c r="H27" s="944">
        <f>'C-1 Site River Baseline'!U258+'F-1 Off Site River Baseline'!U258</f>
        <v>0</v>
      </c>
      <c r="I27" s="951"/>
    </row>
    <row r="28" spans="2:9" ht="18.75" customHeight="1" thickBot="1">
      <c r="B28" s="949" t="s">
        <v>1453</v>
      </c>
      <c r="C28" s="950"/>
      <c r="D28" s="940">
        <f>IF(AND($K$40=0,'A-1 Site Habitat Baseline'!Y11:Y258&lt;&gt;"No",'D-1 Off Site Habitat Baseline'!Y11:Y258&lt;&gt;"No"),'A-1 Site Habitat Baseline'!$V259+'D-1 Off Site Habitat Baseline'!V259,"Error")</f>
        <v>1.88</v>
      </c>
      <c r="E28" s="940"/>
      <c r="F28" s="945">
        <f>'B-1 Site Hedge Baseline'!$S$258+'E-1 Off Site Hedge Baseline'!$S$258</f>
        <v>5.0399999999999991</v>
      </c>
      <c r="G28" s="945"/>
      <c r="H28" s="945">
        <f>'C-1 Site River Baseline'!W258+'F-1 Off Site River Baseline'!W258</f>
        <v>0</v>
      </c>
      <c r="I28" s="952"/>
    </row>
    <row r="29" spans="2:9" ht="18.75" customHeight="1" thickBot="1">
      <c r="D29" s="38"/>
      <c r="F29" s="38"/>
      <c r="H29" s="38"/>
    </row>
    <row r="30" spans="2:9" ht="18.75" customHeight="1">
      <c r="B30" s="947" t="s">
        <v>1069</v>
      </c>
      <c r="C30" s="948"/>
      <c r="D30" s="939">
        <f>IF(AND($K$40=0,'A-1 Site Habitat Baseline'!Y11:Y258&lt;&gt;"No",'D-1 Off Site Habitat Baseline'!Y11:Y258&lt;&gt;"No"),'A-1 Site Habitat Baseline'!$W259+'D-1 Off Site Habitat Baseline'!W259,"Error")</f>
        <v>101.51</v>
      </c>
      <c r="E30" s="939"/>
      <c r="F30" s="944">
        <f>'B-1 Site Hedge Baseline'!$T$258+'E-1 Off Site Hedge Baseline'!$T$258</f>
        <v>5.5511151231257827E-16</v>
      </c>
      <c r="G30" s="944"/>
      <c r="H30" s="944">
        <f>'C-1 Site River Baseline'!X258+'F-1 Off Site River Baseline'!X258</f>
        <v>0</v>
      </c>
      <c r="I30" s="951"/>
    </row>
    <row r="31" spans="2:9" ht="18.75" customHeight="1" thickBot="1">
      <c r="B31" s="949" t="s">
        <v>1017</v>
      </c>
      <c r="C31" s="950"/>
      <c r="D31" s="940">
        <f>IF(AND($K$40=0,'A-1 Site Habitat Baseline'!Y11:Y258&lt;&gt;"No",'D-1 Off Site Habitat Baseline'!Y11:Y258&lt;&gt;"No"),'A-1 Site Habitat Baseline'!$X259+'D-1 Off Site Habitat Baseline'!X259,"Error")</f>
        <v>205.93999999999997</v>
      </c>
      <c r="E31" s="940"/>
      <c r="F31" s="945">
        <f>'B-1 Site Hedge Baseline'!$U$258+'E-1 Off Site Hedge Baseline'!$U$258</f>
        <v>2.2204460492503131E-15</v>
      </c>
      <c r="G31" s="945"/>
      <c r="H31" s="945">
        <f>'C-1 Site River Baseline'!Y258+'F-1 Off Site River Baseline'!Y258</f>
        <v>0</v>
      </c>
      <c r="I31" s="952"/>
    </row>
    <row r="32" spans="2:9" ht="25.9" customHeight="1" thickBot="1">
      <c r="C32" s="38"/>
      <c r="D32" s="38"/>
      <c r="E32" s="38"/>
    </row>
    <row r="33" spans="1:22" s="537" customFormat="1" ht="43.9" customHeight="1" thickTop="1" thickBot="1">
      <c r="A33" s="953" t="s">
        <v>1461</v>
      </c>
      <c r="C33" s="538"/>
      <c r="D33" s="538"/>
      <c r="E33" s="538"/>
    </row>
    <row r="34" spans="1:22" ht="26.25" thickBot="1">
      <c r="A34" s="954"/>
      <c r="B34" s="528" t="s">
        <v>1377</v>
      </c>
    </row>
    <row r="35" spans="1:22" ht="18.75" customHeight="1" thickBot="1">
      <c r="A35" s="954"/>
    </row>
    <row r="36" spans="1:22" ht="22.15" customHeight="1" thickBot="1">
      <c r="A36" s="954"/>
      <c r="B36" s="893" t="s">
        <v>1353</v>
      </c>
      <c r="C36" s="893"/>
      <c r="D36" s="893"/>
      <c r="E36" s="893"/>
      <c r="F36" s="893"/>
      <c r="G36" s="893"/>
      <c r="H36" s="893"/>
      <c r="J36" s="906" t="s">
        <v>1352</v>
      </c>
      <c r="K36" s="907"/>
      <c r="L36" s="908"/>
    </row>
    <row r="37" spans="1:22" ht="34.15" customHeight="1" thickBot="1">
      <c r="A37" s="954"/>
      <c r="B37" s="39"/>
      <c r="C37" s="888" t="s">
        <v>1131</v>
      </c>
      <c r="D37" s="888"/>
      <c r="E37" s="888" t="s">
        <v>1076</v>
      </c>
      <c r="F37" s="888"/>
      <c r="G37" s="888" t="s">
        <v>1132</v>
      </c>
      <c r="H37" s="888"/>
      <c r="J37" s="909"/>
      <c r="K37" s="910"/>
      <c r="L37" s="911"/>
      <c r="U37" s="887"/>
      <c r="V37" s="887"/>
    </row>
    <row r="38" spans="1:22" ht="52.9" customHeight="1" thickBot="1">
      <c r="A38" s="954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7" t="s">
        <v>343</v>
      </c>
      <c r="K38" s="914" t="s">
        <v>976</v>
      </c>
      <c r="L38" s="916" t="s">
        <v>975</v>
      </c>
      <c r="U38" s="887"/>
      <c r="V38" s="887"/>
    </row>
    <row r="39" spans="1:22" ht="15.75">
      <c r="A39" s="954"/>
      <c r="B39" s="47" t="s">
        <v>165</v>
      </c>
      <c r="C39" s="545">
        <f>'G-2 Habitat groups'!$AK$4</f>
        <v>79.88</v>
      </c>
      <c r="D39" s="545">
        <f>'G-2 Habitat groups'!$AL$4</f>
        <v>159.76</v>
      </c>
      <c r="E39" s="545">
        <f>'G-2 Habitat groups'!$AM$4</f>
        <v>0</v>
      </c>
      <c r="F39" s="545">
        <f>'G-2 Habitat groups'!$AN$4</f>
        <v>0</v>
      </c>
      <c r="G39" s="545">
        <f>E39-C39</f>
        <v>-79.88</v>
      </c>
      <c r="H39" s="545">
        <f>F39-D39</f>
        <v>-159.76</v>
      </c>
      <c r="J39" s="898"/>
      <c r="K39" s="915"/>
      <c r="L39" s="917"/>
    </row>
    <row r="40" spans="1:22" ht="15.75">
      <c r="A40" s="954"/>
      <c r="B40" s="41" t="s">
        <v>135</v>
      </c>
      <c r="C40" s="546">
        <f>'G-2 Habitat groups'!$AK$5</f>
        <v>21.150000000000002</v>
      </c>
      <c r="D40" s="546">
        <f>'G-2 Habitat groups'!$AL$5</f>
        <v>44.260000000000005</v>
      </c>
      <c r="E40" s="546">
        <f>'G-2 Habitat groups'!$AM$5</f>
        <v>97.86</v>
      </c>
      <c r="F40" s="546">
        <f>'G-2 Habitat groups'!$AN$5</f>
        <v>410.12861882344799</v>
      </c>
      <c r="G40" s="546">
        <f t="shared" ref="G40:G50" si="0">E40-C40</f>
        <v>76.709999999999994</v>
      </c>
      <c r="H40" s="546">
        <f t="shared" ref="H40:H50" si="1">F40-D40</f>
        <v>365.868618823448</v>
      </c>
      <c r="J40" s="891" t="str">
        <f>'G-1 All Habitats'!$V$3</f>
        <v>V.High</v>
      </c>
      <c r="K40" s="89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89" t="str">
        <f>IF(K40=0,"",(K40/(SUM($K$40:$K$49)))*100)</f>
        <v/>
      </c>
    </row>
    <row r="41" spans="1:22" ht="15.75">
      <c r="A41" s="954"/>
      <c r="B41" s="41" t="s">
        <v>164</v>
      </c>
      <c r="C41" s="546">
        <f>'G-2 Habitat groups'!$AK$6</f>
        <v>0.95</v>
      </c>
      <c r="D41" s="546">
        <f>'G-2 Habitat groups'!$AL$6</f>
        <v>3.8</v>
      </c>
      <c r="E41" s="546">
        <f>'G-2 Habitat groups'!$AM$6</f>
        <v>0.97</v>
      </c>
      <c r="F41" s="546">
        <f ca="1">'G-2 Habitat groups'!$AN$6</f>
        <v>6.8005527595279993</v>
      </c>
      <c r="G41" s="546">
        <f t="shared" si="0"/>
        <v>2.0000000000000018E-2</v>
      </c>
      <c r="H41" s="546">
        <f t="shared" ca="1" si="1"/>
        <v>3.0005527595279995</v>
      </c>
      <c r="J41" s="892"/>
      <c r="K41" s="900"/>
      <c r="L41" s="890"/>
    </row>
    <row r="42" spans="1:22" ht="15.75">
      <c r="A42" s="954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891" t="str">
        <f>'G-1 All Habitats'!$V$4</f>
        <v>High</v>
      </c>
      <c r="K42" s="899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89" t="str">
        <f>IF(K42=0,"",(K42/(SUM($K$40:$K$49)))*100)</f>
        <v/>
      </c>
    </row>
    <row r="43" spans="1:22" ht="15.75">
      <c r="A43" s="954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892"/>
      <c r="K43" s="900"/>
      <c r="L43" s="890"/>
    </row>
    <row r="44" spans="1:22" ht="15.75">
      <c r="A44" s="954"/>
      <c r="B44" s="41" t="s">
        <v>166</v>
      </c>
      <c r="C44" s="546">
        <f>'G-2 Habitat groups'!$AK$9</f>
        <v>0.78</v>
      </c>
      <c r="D44" s="546">
        <f>'G-2 Habitat groups'!$AL$9</f>
        <v>0</v>
      </c>
      <c r="E44" s="546">
        <f>'G-2 Habitat groups'!$AM$9</f>
        <v>3.9299999999999997</v>
      </c>
      <c r="F44" s="546">
        <f>'G-2 Habitat groups'!$AP$9</f>
        <v>0.12931000000000001</v>
      </c>
      <c r="G44" s="546">
        <f t="shared" si="0"/>
        <v>3.1499999999999995</v>
      </c>
      <c r="H44" s="546">
        <f t="shared" si="1"/>
        <v>0.12931000000000001</v>
      </c>
      <c r="J44" s="891" t="str">
        <f>'G-1 All Habitats'!$V5</f>
        <v>Medium</v>
      </c>
      <c r="K44" s="899">
        <f>SUMIF('A-1 Site Habitat Baseline'!$I$11:$I$258,'Detailed Results'!J44,'A-1 Site Habitat Baseline'!$W$11:$W$258)+SUMIF('D-1 Off Site Habitat Baseline'!$I$11:$I$258,'Detailed Results'!J44,'D-1 Off Site Habitat Baseline'!$W$11:$W$258)</f>
        <v>1.46</v>
      </c>
      <c r="L44" s="889">
        <f>IF(K44=0,"",(K44/(SUM($K$40:$K$49)))*100)</f>
        <v>1.4382819426657474</v>
      </c>
    </row>
    <row r="45" spans="1:22" ht="15.75">
      <c r="A45" s="954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2"/>
      <c r="K45" s="900"/>
      <c r="L45" s="890"/>
    </row>
    <row r="46" spans="1:22" ht="15.75">
      <c r="A46" s="954"/>
      <c r="B46" s="42" t="s">
        <v>163</v>
      </c>
      <c r="C46" s="546">
        <f>'G-2 Habitat groups'!$AK$11</f>
        <v>2.25</v>
      </c>
      <c r="D46" s="546">
        <f>'G-2 Habitat groups'!$AL$11</f>
        <v>20.267999999999997</v>
      </c>
      <c r="E46" s="546">
        <f>'G-2 Habitat groups'!$AM$11</f>
        <v>2.25</v>
      </c>
      <c r="F46" s="546">
        <f>'G-2 Habitat groups'!$AN$11</f>
        <v>20.267999999999997</v>
      </c>
      <c r="G46" s="546">
        <f t="shared" si="0"/>
        <v>0</v>
      </c>
      <c r="H46" s="546">
        <f t="shared" si="1"/>
        <v>0</v>
      </c>
      <c r="J46" s="891" t="str">
        <f>'G-1 All Habitats'!$V$6</f>
        <v>Low</v>
      </c>
      <c r="K46" s="899">
        <f>SUMIF('A-1 Site Habitat Baseline'!$I$11:$I$258,'Detailed Results'!J46,'A-1 Site Habitat Baseline'!$W$11:$W$258)+SUMIF('D-1 Off Site Habitat Baseline'!$I$11:$I$258,'Detailed Results'!J46,'D-1 Off Site Habitat Baseline'!$W$11:$W$258)</f>
        <v>100.05</v>
      </c>
      <c r="L46" s="889">
        <f>IF(K46=0,"",(K46/(SUM($K$40:$K$49)))*100)</f>
        <v>98.561718057334261</v>
      </c>
    </row>
    <row r="47" spans="1:22" ht="15.75">
      <c r="A47" s="954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2"/>
      <c r="K47" s="900"/>
      <c r="L47" s="890"/>
    </row>
    <row r="48" spans="1:22" ht="15.75">
      <c r="A48" s="954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1" t="str">
        <f>'G-1 All Habitats'!$V$7</f>
        <v>V.Low</v>
      </c>
      <c r="K48" s="899">
        <f>SUMIF('A-1 Site Habitat Baseline'!$I$11:$I$258,'Detailed Results'!J48,'A-1 Site Habitat Baseline'!$W$11:$W$258)+SUMIF('D-1 Off Site Habitat Baseline'!$I$11:$I$258,'Detailed Results'!J48,'D-1 Off Site Habitat Baseline'!$W$11:$W$258)</f>
        <v>0</v>
      </c>
      <c r="L48" s="889" t="str">
        <f>IF(K48=0,"",(K48/(SUM($K$40:$K$49)))*100)</f>
        <v/>
      </c>
    </row>
    <row r="49" spans="1:33" ht="16.5" thickBot="1">
      <c r="A49" s="954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1"/>
      <c r="K49" s="900"/>
      <c r="L49" s="890"/>
    </row>
    <row r="50" spans="1:33" ht="15.75">
      <c r="A50" s="954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75">
      <c r="A51" s="954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>
      <c r="A52" s="954"/>
    </row>
    <row r="53" spans="1:33" ht="15.75" customHeight="1">
      <c r="A53" s="954"/>
    </row>
    <row r="54" spans="1:33" ht="10.15" customHeight="1" thickBot="1">
      <c r="A54" s="954"/>
    </row>
    <row r="55" spans="1:33" ht="22.9" customHeight="1" thickBot="1">
      <c r="A55" s="954"/>
      <c r="B55" s="893" t="s">
        <v>1354</v>
      </c>
      <c r="C55" s="893"/>
      <c r="D55" s="893"/>
      <c r="E55" s="893"/>
      <c r="F55" s="893"/>
      <c r="G55" s="893"/>
      <c r="H55" s="893"/>
      <c r="I55" s="45"/>
      <c r="J55" s="45"/>
      <c r="K55" s="45"/>
      <c r="L55" s="45"/>
      <c r="M55" s="45"/>
    </row>
    <row r="56" spans="1:33" s="46" customFormat="1" ht="38.25" customHeight="1" thickBot="1">
      <c r="A56" s="954"/>
      <c r="B56" s="39"/>
      <c r="C56" s="888" t="s">
        <v>1131</v>
      </c>
      <c r="D56" s="888"/>
      <c r="E56" s="888" t="s">
        <v>1133</v>
      </c>
      <c r="F56" s="888"/>
      <c r="G56" s="888" t="s">
        <v>1134</v>
      </c>
      <c r="H56" s="88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>
      <c r="A57" s="954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>
      <c r="A58" s="954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75">
      <c r="A59" s="954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>
      <c r="A60" s="954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75">
      <c r="A61" s="954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75">
      <c r="A62" s="954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75">
      <c r="A63" s="954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75">
      <c r="A64" s="954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75">
      <c r="A65" s="954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>
      <c r="A66" s="954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>
      <c r="A67" s="954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>
      <c r="A68" s="954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>
      <c r="A69" s="954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>
      <c r="A70" s="954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>
      <c r="A71" s="95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>
      <c r="A72" s="95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>
      <c r="A73" s="95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9.5" thickBot="1">
      <c r="A74" s="954"/>
      <c r="B74" s="893" t="s">
        <v>1355</v>
      </c>
      <c r="C74" s="893"/>
      <c r="D74" s="893"/>
      <c r="E74" s="893"/>
      <c r="F74" s="893"/>
      <c r="G74" s="893"/>
      <c r="H74" s="893"/>
      <c r="I74" s="44"/>
      <c r="J74" s="44"/>
    </row>
    <row r="75" spans="1:10" ht="33.6" customHeight="1" thickBot="1">
      <c r="A75" s="954"/>
      <c r="B75" s="39"/>
      <c r="C75" s="888" t="s">
        <v>1131</v>
      </c>
      <c r="D75" s="888"/>
      <c r="E75" s="888" t="s">
        <v>1378</v>
      </c>
      <c r="F75" s="888"/>
      <c r="G75" s="888" t="s">
        <v>1135</v>
      </c>
      <c r="H75" s="888"/>
      <c r="I75" s="44"/>
      <c r="J75" s="44"/>
    </row>
    <row r="76" spans="1:10" ht="45.6" customHeight="1">
      <c r="A76" s="954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>
      <c r="A77" s="954"/>
      <c r="B77" s="41" t="s">
        <v>165</v>
      </c>
      <c r="C77" s="546">
        <f t="shared" ref="C77:H89" si="8">C39+C58</f>
        <v>79.88</v>
      </c>
      <c r="D77" s="546">
        <f t="shared" si="8"/>
        <v>159.76</v>
      </c>
      <c r="E77" s="546">
        <f t="shared" si="8"/>
        <v>0</v>
      </c>
      <c r="F77" s="546">
        <f t="shared" si="8"/>
        <v>0</v>
      </c>
      <c r="G77" s="546">
        <f t="shared" si="8"/>
        <v>-79.88</v>
      </c>
      <c r="H77" s="548">
        <f t="shared" si="8"/>
        <v>-159.76</v>
      </c>
      <c r="I77" s="44"/>
      <c r="J77" s="44"/>
    </row>
    <row r="78" spans="1:10" ht="15.75" customHeight="1">
      <c r="A78" s="954"/>
      <c r="B78" s="41" t="s">
        <v>135</v>
      </c>
      <c r="C78" s="546">
        <f t="shared" si="8"/>
        <v>21.150000000000002</v>
      </c>
      <c r="D78" s="546">
        <f t="shared" si="8"/>
        <v>44.260000000000005</v>
      </c>
      <c r="E78" s="546">
        <f t="shared" si="8"/>
        <v>97.86</v>
      </c>
      <c r="F78" s="546">
        <f t="shared" si="8"/>
        <v>410.12861882344799</v>
      </c>
      <c r="G78" s="546">
        <f t="shared" si="8"/>
        <v>76.709999999999994</v>
      </c>
      <c r="H78" s="548">
        <f t="shared" si="8"/>
        <v>365.868618823448</v>
      </c>
      <c r="I78" s="44"/>
      <c r="J78" s="44"/>
    </row>
    <row r="79" spans="1:10" ht="15.75" customHeight="1">
      <c r="A79" s="954"/>
      <c r="B79" s="41" t="s">
        <v>164</v>
      </c>
      <c r="C79" s="546">
        <f t="shared" si="8"/>
        <v>0.95</v>
      </c>
      <c r="D79" s="546">
        <f t="shared" si="8"/>
        <v>3.8</v>
      </c>
      <c r="E79" s="546">
        <f t="shared" si="8"/>
        <v>0.97</v>
      </c>
      <c r="F79" s="546">
        <f t="shared" ca="1" si="8"/>
        <v>6.8005527595279993</v>
      </c>
      <c r="G79" s="546">
        <f t="shared" si="8"/>
        <v>2.0000000000000018E-2</v>
      </c>
      <c r="H79" s="548">
        <f t="shared" ca="1" si="8"/>
        <v>3.0005527595279995</v>
      </c>
      <c r="I79" s="44"/>
      <c r="J79" s="44"/>
    </row>
    <row r="80" spans="1:10" ht="15.75" customHeight="1">
      <c r="A80" s="954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>
      <c r="A81" s="954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>
      <c r="A82" s="954"/>
      <c r="B82" s="41" t="s">
        <v>166</v>
      </c>
      <c r="C82" s="546">
        <f t="shared" si="8"/>
        <v>0.78</v>
      </c>
      <c r="D82" s="546">
        <f t="shared" si="8"/>
        <v>0</v>
      </c>
      <c r="E82" s="546">
        <f t="shared" si="8"/>
        <v>3.9299999999999997</v>
      </c>
      <c r="F82" s="546">
        <f t="shared" si="8"/>
        <v>0.12931000000000001</v>
      </c>
      <c r="G82" s="546">
        <f t="shared" si="8"/>
        <v>3.1499999999999995</v>
      </c>
      <c r="H82" s="548">
        <f t="shared" si="8"/>
        <v>0.12931000000000001</v>
      </c>
      <c r="I82" s="44"/>
      <c r="J82" s="44"/>
    </row>
    <row r="83" spans="1:12" ht="15.75" customHeight="1">
      <c r="A83" s="954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>
      <c r="A84" s="954"/>
      <c r="B84" s="42" t="s">
        <v>163</v>
      </c>
      <c r="C84" s="546">
        <f t="shared" si="8"/>
        <v>2.25</v>
      </c>
      <c r="D84" s="546">
        <f t="shared" si="8"/>
        <v>20.267999999999997</v>
      </c>
      <c r="E84" s="546">
        <f t="shared" si="8"/>
        <v>2.25</v>
      </c>
      <c r="F84" s="546">
        <f t="shared" si="8"/>
        <v>20.267999999999997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75">
      <c r="A85" s="954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75">
      <c r="A86" s="954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75">
      <c r="A87" s="954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75">
      <c r="A88" s="954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5" thickBot="1">
      <c r="A89" s="954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>
      <c r="A90" s="95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>
      <c r="A91" s="955"/>
    </row>
    <row r="92" spans="1:12" ht="37.9" customHeight="1" thickTop="1" thickBot="1">
      <c r="A92" s="956" t="s">
        <v>1460</v>
      </c>
    </row>
    <row r="93" spans="1:12" ht="26.25" thickBot="1">
      <c r="A93" s="957"/>
      <c r="B93" s="894" t="s">
        <v>1356</v>
      </c>
      <c r="C93" s="895"/>
      <c r="D93" s="896"/>
    </row>
    <row r="94" spans="1:12">
      <c r="A94" s="957"/>
    </row>
    <row r="95" spans="1:12" ht="15" customHeight="1" thickBot="1">
      <c r="A95" s="957"/>
    </row>
    <row r="96" spans="1:12" ht="18" customHeight="1" thickBot="1">
      <c r="A96" s="957"/>
      <c r="B96" s="893" t="s">
        <v>1370</v>
      </c>
      <c r="C96" s="893"/>
      <c r="D96" s="893"/>
      <c r="E96" s="893"/>
      <c r="F96" s="893"/>
      <c r="G96" s="893"/>
      <c r="H96" s="893"/>
      <c r="J96" s="906" t="s">
        <v>1436</v>
      </c>
      <c r="K96" s="907"/>
      <c r="L96" s="908"/>
    </row>
    <row r="97" spans="1:12" ht="16.149999999999999" customHeight="1" thickBot="1">
      <c r="A97" s="957"/>
      <c r="B97" s="39"/>
      <c r="C97" s="888" t="s">
        <v>1131</v>
      </c>
      <c r="D97" s="888"/>
      <c r="E97" s="888" t="s">
        <v>1076</v>
      </c>
      <c r="F97" s="888"/>
      <c r="G97" s="888" t="s">
        <v>1132</v>
      </c>
      <c r="H97" s="888"/>
      <c r="J97" s="909"/>
      <c r="K97" s="910"/>
      <c r="L97" s="911"/>
    </row>
    <row r="98" spans="1:12" ht="48" thickBot="1">
      <c r="A98" s="957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7" t="s">
        <v>343</v>
      </c>
      <c r="K98" s="914" t="s">
        <v>1435</v>
      </c>
      <c r="L98" s="916" t="s">
        <v>1462</v>
      </c>
    </row>
    <row r="99" spans="1:12" ht="15.75">
      <c r="A99" s="957"/>
      <c r="B99" s="532" t="s">
        <v>1218</v>
      </c>
      <c r="C99" s="545">
        <f>'G-2 Habitat groups'!E147</f>
        <v>0.15</v>
      </c>
      <c r="D99" s="545">
        <f>'G-2 Habitat groups'!F147</f>
        <v>2.4</v>
      </c>
      <c r="E99" s="545">
        <f ca="1">'G-2 Habitat groups'!O147</f>
        <v>0.15</v>
      </c>
      <c r="F99" s="545">
        <f ca="1">'G-2 Habitat groups'!P147</f>
        <v>2.4</v>
      </c>
      <c r="G99" s="545">
        <f ca="1">E99-C99</f>
        <v>0</v>
      </c>
      <c r="H99" s="545">
        <f t="shared" ref="H99:H111" ca="1" si="9">F99-D99</f>
        <v>0</v>
      </c>
      <c r="J99" s="898"/>
      <c r="K99" s="915"/>
      <c r="L99" s="917"/>
    </row>
    <row r="100" spans="1:12" ht="15.75">
      <c r="A100" s="957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 ca="1">'G-2 Habitat groups'!O148</f>
        <v>1.26</v>
      </c>
      <c r="F100" s="545">
        <f ca="1">'G-2 Habitat groups'!P148</f>
        <v>10.588267985903999</v>
      </c>
      <c r="G100" s="545">
        <f t="shared" ref="G100:G111" ca="1" si="10">E100-C100</f>
        <v>1.26</v>
      </c>
      <c r="H100" s="545">
        <f t="shared" ca="1" si="9"/>
        <v>10.588267985903999</v>
      </c>
      <c r="J100" s="891" t="str">
        <f>'G-1 All Habitats'!$V$3</f>
        <v>V.High</v>
      </c>
      <c r="K100" s="899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89" t="str">
        <f>IF(K100=0,"",(K100/(SUM($K$100:$K$109)))*100)</f>
        <v/>
      </c>
    </row>
    <row r="101" spans="1:12" ht="15.75">
      <c r="A101" s="957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 ca="1">'G-2 Habitat groups'!O149</f>
        <v>0</v>
      </c>
      <c r="F101" s="545">
        <f ca="1">'G-2 Habitat groups'!P149</f>
        <v>0</v>
      </c>
      <c r="G101" s="545">
        <f t="shared" ca="1" si="10"/>
        <v>0</v>
      </c>
      <c r="H101" s="545">
        <f t="shared" ca="1" si="9"/>
        <v>0</v>
      </c>
      <c r="J101" s="892"/>
      <c r="K101" s="900"/>
      <c r="L101" s="890"/>
    </row>
    <row r="102" spans="1:12" ht="15.75">
      <c r="A102" s="957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 ca="1">'G-2 Habitat groups'!O150</f>
        <v>0</v>
      </c>
      <c r="F102" s="545">
        <f ca="1">'G-2 Habitat groups'!P150</f>
        <v>0</v>
      </c>
      <c r="G102" s="545">
        <f t="shared" ca="1" si="10"/>
        <v>0</v>
      </c>
      <c r="H102" s="545">
        <f t="shared" ca="1" si="9"/>
        <v>0</v>
      </c>
      <c r="J102" s="891" t="str">
        <f>'G-1 All Habitats'!$V$4</f>
        <v>High</v>
      </c>
      <c r="K102" s="899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89" t="str">
        <f t="shared" ref="L102" si="11">IF(K102=0,"",(K102/(SUM($K$100:$K$109)))*100)</f>
        <v/>
      </c>
    </row>
    <row r="103" spans="1:12" ht="15.75">
      <c r="A103" s="957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 ca="1">'G-2 Habitat groups'!O151</f>
        <v>0</v>
      </c>
      <c r="F103" s="545">
        <f ca="1">'G-2 Habitat groups'!P151</f>
        <v>0</v>
      </c>
      <c r="G103" s="545">
        <f t="shared" ca="1" si="10"/>
        <v>0</v>
      </c>
      <c r="H103" s="545">
        <f t="shared" ca="1" si="9"/>
        <v>0</v>
      </c>
      <c r="J103" s="892"/>
      <c r="K103" s="900"/>
      <c r="L103" s="890"/>
    </row>
    <row r="104" spans="1:12" ht="15.75">
      <c r="A104" s="957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 ca="1">'G-2 Habitat groups'!O152</f>
        <v>0</v>
      </c>
      <c r="F104" s="545">
        <f ca="1">'G-2 Habitat groups'!P152</f>
        <v>0</v>
      </c>
      <c r="G104" s="545">
        <f t="shared" ca="1" si="10"/>
        <v>0</v>
      </c>
      <c r="H104" s="545">
        <f t="shared" ca="1" si="9"/>
        <v>0</v>
      </c>
      <c r="J104" s="891" t="str">
        <f>'G-1 All Habitats'!$V$5</f>
        <v>Medium</v>
      </c>
      <c r="K104" s="899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89" t="str">
        <f t="shared" ref="L104" si="12">IF(K104=0,"",(K104/(SUM($K$100:$K$109)))*100)</f>
        <v/>
      </c>
    </row>
    <row r="105" spans="1:12" ht="15.75">
      <c r="A105" s="957"/>
      <c r="B105" s="533" t="s">
        <v>325</v>
      </c>
      <c r="C105" s="545">
        <f>'G-2 Habitat groups'!E153</f>
        <v>0.99</v>
      </c>
      <c r="D105" s="545">
        <f>'G-2 Habitat groups'!F153</f>
        <v>7.92</v>
      </c>
      <c r="E105" s="545">
        <f ca="1">'G-2 Habitat groups'!O153</f>
        <v>0.99</v>
      </c>
      <c r="F105" s="545">
        <f ca="1">'G-2 Habitat groups'!P153</f>
        <v>7.92</v>
      </c>
      <c r="G105" s="545">
        <f t="shared" ca="1" si="10"/>
        <v>0</v>
      </c>
      <c r="H105" s="545">
        <f t="shared" ca="1" si="9"/>
        <v>0</v>
      </c>
      <c r="J105" s="892"/>
      <c r="K105" s="900"/>
      <c r="L105" s="890"/>
    </row>
    <row r="106" spans="1:12" ht="15.75">
      <c r="A106" s="957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 ca="1">'G-2 Habitat groups'!O154</f>
        <v>0</v>
      </c>
      <c r="F106" s="545">
        <f ca="1">'G-2 Habitat groups'!P154</f>
        <v>0</v>
      </c>
      <c r="G106" s="545">
        <f t="shared" ca="1" si="10"/>
        <v>0</v>
      </c>
      <c r="H106" s="545">
        <f t="shared" ca="1" si="9"/>
        <v>0</v>
      </c>
      <c r="J106" s="891" t="str">
        <f>'G-1 All Habitats'!$V$6</f>
        <v>Low</v>
      </c>
      <c r="K106" s="899">
        <f>SUMIF('B-1 Site Hedge Baseline'!$F$10:$F$257,'Detailed Results'!J106,'B-1 Site Hedge Baseline'!$T$10:$T$257)+SUMIF('E-1 Off Site Hedge Baseline'!$F$10:$F$257,'Detailed Results'!J106,'E-1 Off Site Hedge Baseline'!$T$10:$T$257)</f>
        <v>5.5511151231257827E-16</v>
      </c>
      <c r="L106" s="889">
        <f t="shared" ref="L106" si="13">IF(K106=0,"",(K106/(SUM($K$100:$K$109)))*100)</f>
        <v>100</v>
      </c>
    </row>
    <row r="107" spans="1:12" ht="15.75">
      <c r="A107" s="957"/>
      <c r="B107" s="535" t="s">
        <v>326</v>
      </c>
      <c r="C107" s="545">
        <f>'G-2 Habitat groups'!E155</f>
        <v>0.35</v>
      </c>
      <c r="D107" s="545">
        <f>'G-2 Habitat groups'!F155</f>
        <v>2.8</v>
      </c>
      <c r="E107" s="545">
        <f ca="1">'G-2 Habitat groups'!O155</f>
        <v>0.35</v>
      </c>
      <c r="F107" s="545">
        <f ca="1">'G-2 Habitat groups'!P155</f>
        <v>2.8</v>
      </c>
      <c r="G107" s="545">
        <f t="shared" ca="1" si="10"/>
        <v>0</v>
      </c>
      <c r="H107" s="545">
        <f t="shared" ca="1" si="9"/>
        <v>0</v>
      </c>
      <c r="J107" s="892"/>
      <c r="K107" s="900"/>
      <c r="L107" s="890"/>
    </row>
    <row r="108" spans="1:12" ht="15.75">
      <c r="A108" s="957"/>
      <c r="B108" s="535" t="s">
        <v>324</v>
      </c>
      <c r="C108" s="545">
        <f>'G-2 Habitat groups'!E156</f>
        <v>6.84</v>
      </c>
      <c r="D108" s="545">
        <f>'G-2 Habitat groups'!F156</f>
        <v>27.36</v>
      </c>
      <c r="E108" s="545">
        <f ca="1">'G-2 Habitat groups'!O156</f>
        <v>6.84</v>
      </c>
      <c r="F108" s="545">
        <f ca="1">'G-2 Habitat groups'!P156</f>
        <v>29.706686999999999</v>
      </c>
      <c r="G108" s="545">
        <f t="shared" ca="1" si="10"/>
        <v>0</v>
      </c>
      <c r="H108" s="545">
        <f t="shared" ca="1" si="9"/>
        <v>2.3466869999999993</v>
      </c>
      <c r="J108" s="891" t="str">
        <f>'G-1 All Habitats'!$V$7</f>
        <v>V.Low</v>
      </c>
      <c r="K108" s="89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89" t="str">
        <f t="shared" ref="L108" si="14">IF(K108=0,"",(K108/(SUM($K$100:$K$109)))*100)</f>
        <v/>
      </c>
    </row>
    <row r="109" spans="1:12" ht="16.5" thickBot="1">
      <c r="A109" s="957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 ca="1">'G-2 Habitat groups'!O157</f>
        <v>0</v>
      </c>
      <c r="F109" s="545">
        <f ca="1">'G-2 Habitat groups'!P157</f>
        <v>0</v>
      </c>
      <c r="G109" s="545">
        <f t="shared" ca="1" si="10"/>
        <v>0</v>
      </c>
      <c r="H109" s="545">
        <f t="shared" ca="1" si="9"/>
        <v>0</v>
      </c>
      <c r="J109" s="961"/>
      <c r="K109" s="900"/>
      <c r="L109" s="890"/>
    </row>
    <row r="110" spans="1:12" ht="15.75">
      <c r="A110" s="957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 ca="1">'G-2 Habitat groups'!O158</f>
        <v>0</v>
      </c>
      <c r="F110" s="545">
        <f ca="1">'G-2 Habitat groups'!P158</f>
        <v>0</v>
      </c>
      <c r="G110" s="545">
        <f t="shared" ca="1" si="10"/>
        <v>0</v>
      </c>
      <c r="H110" s="545">
        <f t="shared" ca="1" si="9"/>
        <v>0</v>
      </c>
    </row>
    <row r="111" spans="1:12" ht="15.75">
      <c r="A111" s="957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 ca="1">'G-2 Habitat groups'!O159</f>
        <v>0</v>
      </c>
      <c r="F111" s="545">
        <f ca="1">'G-2 Habitat groups'!P159</f>
        <v>0</v>
      </c>
      <c r="G111" s="545">
        <f t="shared" ca="1" si="10"/>
        <v>0</v>
      </c>
      <c r="H111" s="545">
        <f t="shared" ca="1" si="9"/>
        <v>0</v>
      </c>
    </row>
    <row r="112" spans="1:12">
      <c r="A112" s="957"/>
    </row>
    <row r="113" spans="1:8">
      <c r="A113" s="957"/>
    </row>
    <row r="114" spans="1:8">
      <c r="A114" s="957"/>
    </row>
    <row r="115" spans="1:8" ht="15.75" thickBot="1">
      <c r="A115" s="957"/>
    </row>
    <row r="116" spans="1:8" ht="19.5" thickBot="1">
      <c r="A116" s="957"/>
      <c r="B116" s="893" t="s">
        <v>1371</v>
      </c>
      <c r="C116" s="893"/>
      <c r="D116" s="893"/>
      <c r="E116" s="893"/>
      <c r="F116" s="893"/>
      <c r="G116" s="893"/>
      <c r="H116" s="893"/>
    </row>
    <row r="117" spans="1:8" ht="16.5" thickBot="1">
      <c r="A117" s="957"/>
      <c r="B117" s="39"/>
      <c r="C117" s="888" t="s">
        <v>1440</v>
      </c>
      <c r="D117" s="888"/>
      <c r="E117" s="888" t="s">
        <v>1437</v>
      </c>
      <c r="F117" s="888"/>
      <c r="G117" s="888" t="s">
        <v>1438</v>
      </c>
      <c r="H117" s="888"/>
    </row>
    <row r="118" spans="1:8" ht="48" thickBot="1">
      <c r="A118" s="957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15.75">
      <c r="A119" s="957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75">
      <c r="A120" s="957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75">
      <c r="A121" s="957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75">
      <c r="A122" s="957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75">
      <c r="A123" s="957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75">
      <c r="A124" s="957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75">
      <c r="A125" s="957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75">
      <c r="A126" s="957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75">
      <c r="A127" s="957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75">
      <c r="A128" s="957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75">
      <c r="A129" s="957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75">
      <c r="A130" s="957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75">
      <c r="A131" s="957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>
      <c r="A132" s="957"/>
      <c r="B132" s="44"/>
      <c r="C132" s="44"/>
    </row>
    <row r="133" spans="1:8">
      <c r="A133" s="957"/>
      <c r="B133" s="44"/>
      <c r="C133" s="44"/>
    </row>
    <row r="134" spans="1:8">
      <c r="A134" s="957"/>
      <c r="B134" s="44"/>
      <c r="C134" s="44"/>
    </row>
    <row r="135" spans="1:8" ht="15.75" thickBot="1">
      <c r="A135" s="957"/>
      <c r="B135" s="44"/>
      <c r="C135" s="44"/>
    </row>
    <row r="136" spans="1:8" ht="19.5" thickBot="1">
      <c r="A136" s="957"/>
      <c r="B136" s="893" t="s">
        <v>1372</v>
      </c>
      <c r="C136" s="893"/>
      <c r="D136" s="893"/>
      <c r="E136" s="893"/>
      <c r="F136" s="893"/>
      <c r="G136" s="893"/>
      <c r="H136" s="893"/>
    </row>
    <row r="137" spans="1:8" ht="16.5" thickBot="1">
      <c r="A137" s="957"/>
      <c r="B137" s="39"/>
      <c r="C137" s="888" t="s">
        <v>1131</v>
      </c>
      <c r="D137" s="888"/>
      <c r="E137" s="888" t="s">
        <v>1076</v>
      </c>
      <c r="F137" s="888"/>
      <c r="G137" s="888" t="s">
        <v>1132</v>
      </c>
      <c r="H137" s="888"/>
    </row>
    <row r="138" spans="1:8" ht="32.25" thickBot="1">
      <c r="A138" s="957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15.75">
      <c r="A139" s="957"/>
      <c r="B139" s="539" t="s">
        <v>1218</v>
      </c>
      <c r="C139" s="546">
        <f>C99+C119</f>
        <v>0.15</v>
      </c>
      <c r="D139" s="546">
        <f t="shared" ref="D139:H139" si="17">D99+D119</f>
        <v>2.4</v>
      </c>
      <c r="E139" s="546">
        <f t="shared" ca="1" si="17"/>
        <v>0.15</v>
      </c>
      <c r="F139" s="546">
        <f t="shared" ca="1" si="17"/>
        <v>2.4</v>
      </c>
      <c r="G139" s="546">
        <f ca="1">G99+G119</f>
        <v>0</v>
      </c>
      <c r="H139" s="546">
        <f t="shared" ca="1" si="17"/>
        <v>0</v>
      </c>
    </row>
    <row r="140" spans="1:8" ht="15.75">
      <c r="A140" s="957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ca="1" si="18"/>
        <v>1.26</v>
      </c>
      <c r="F140" s="546">
        <f t="shared" ca="1" si="18"/>
        <v>10.588267985903999</v>
      </c>
      <c r="G140" s="546">
        <f t="shared" ca="1" si="18"/>
        <v>1.26</v>
      </c>
      <c r="H140" s="546">
        <f t="shared" ca="1" si="18"/>
        <v>10.588267985903999</v>
      </c>
    </row>
    <row r="141" spans="1:8" ht="15.75">
      <c r="A141" s="957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ca="1" si="19"/>
        <v>0</v>
      </c>
      <c r="F141" s="546">
        <f t="shared" ca="1" si="19"/>
        <v>0</v>
      </c>
      <c r="G141" s="546">
        <f t="shared" ca="1" si="19"/>
        <v>0</v>
      </c>
      <c r="H141" s="546">
        <f t="shared" ca="1" si="19"/>
        <v>0</v>
      </c>
    </row>
    <row r="142" spans="1:8" ht="15.75">
      <c r="A142" s="957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ca="1" si="20"/>
        <v>0</v>
      </c>
      <c r="F142" s="546">
        <f t="shared" ca="1" si="20"/>
        <v>0</v>
      </c>
      <c r="G142" s="546">
        <f t="shared" ca="1" si="20"/>
        <v>0</v>
      </c>
      <c r="H142" s="546">
        <f t="shared" ca="1" si="20"/>
        <v>0</v>
      </c>
    </row>
    <row r="143" spans="1:8" ht="15.75">
      <c r="A143" s="957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ca="1" si="21"/>
        <v>0</v>
      </c>
      <c r="F143" s="546">
        <f t="shared" ca="1" si="21"/>
        <v>0</v>
      </c>
      <c r="G143" s="546">
        <f t="shared" ca="1" si="21"/>
        <v>0</v>
      </c>
      <c r="H143" s="546">
        <f t="shared" ca="1" si="21"/>
        <v>0</v>
      </c>
    </row>
    <row r="144" spans="1:8" ht="15.75">
      <c r="A144" s="957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ca="1" si="22"/>
        <v>0</v>
      </c>
      <c r="F144" s="546">
        <f t="shared" ca="1" si="22"/>
        <v>0</v>
      </c>
      <c r="G144" s="546">
        <f t="shared" ca="1" si="22"/>
        <v>0</v>
      </c>
      <c r="H144" s="546">
        <f t="shared" ca="1" si="22"/>
        <v>0</v>
      </c>
    </row>
    <row r="145" spans="1:12" ht="15.75">
      <c r="A145" s="957"/>
      <c r="B145" s="540" t="s">
        <v>325</v>
      </c>
      <c r="C145" s="546">
        <f t="shared" ref="C145:H145" si="23">C105+C125</f>
        <v>0.99</v>
      </c>
      <c r="D145" s="546">
        <f t="shared" si="23"/>
        <v>7.92</v>
      </c>
      <c r="E145" s="546">
        <f t="shared" ca="1" si="23"/>
        <v>0.99</v>
      </c>
      <c r="F145" s="546">
        <f t="shared" ca="1" si="23"/>
        <v>7.92</v>
      </c>
      <c r="G145" s="546">
        <f t="shared" ca="1" si="23"/>
        <v>0</v>
      </c>
      <c r="H145" s="546">
        <f t="shared" ca="1" si="23"/>
        <v>0</v>
      </c>
    </row>
    <row r="146" spans="1:12" ht="15.75">
      <c r="A146" s="957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ca="1" si="24"/>
        <v>0</v>
      </c>
      <c r="F146" s="546">
        <f t="shared" ca="1" si="24"/>
        <v>0</v>
      </c>
      <c r="G146" s="546">
        <f t="shared" ca="1" si="24"/>
        <v>0</v>
      </c>
      <c r="H146" s="546">
        <f t="shared" ca="1" si="24"/>
        <v>0</v>
      </c>
    </row>
    <row r="147" spans="1:12" ht="15.75">
      <c r="A147" s="957"/>
      <c r="B147" s="535" t="s">
        <v>326</v>
      </c>
      <c r="C147" s="546">
        <f t="shared" ref="C147:H147" si="25">C107+C127</f>
        <v>0.35</v>
      </c>
      <c r="D147" s="546">
        <f t="shared" si="25"/>
        <v>2.8</v>
      </c>
      <c r="E147" s="546">
        <f t="shared" ca="1" si="25"/>
        <v>0.35</v>
      </c>
      <c r="F147" s="546">
        <f t="shared" ca="1" si="25"/>
        <v>2.8</v>
      </c>
      <c r="G147" s="546">
        <f t="shared" ca="1" si="25"/>
        <v>0</v>
      </c>
      <c r="H147" s="546">
        <f t="shared" ca="1" si="25"/>
        <v>0</v>
      </c>
    </row>
    <row r="148" spans="1:12" ht="15.75">
      <c r="A148" s="957"/>
      <c r="B148" s="535" t="s">
        <v>324</v>
      </c>
      <c r="C148" s="546">
        <f t="shared" ref="C148:H148" si="26">C108+C128</f>
        <v>6.84</v>
      </c>
      <c r="D148" s="546">
        <f t="shared" si="26"/>
        <v>27.36</v>
      </c>
      <c r="E148" s="546">
        <f t="shared" ca="1" si="26"/>
        <v>6.84</v>
      </c>
      <c r="F148" s="546">
        <f t="shared" ca="1" si="26"/>
        <v>29.706686999999999</v>
      </c>
      <c r="G148" s="546">
        <f t="shared" ca="1" si="26"/>
        <v>0</v>
      </c>
      <c r="H148" s="546">
        <f t="shared" ca="1" si="26"/>
        <v>2.3466869999999993</v>
      </c>
    </row>
    <row r="149" spans="1:12" ht="15.75">
      <c r="A149" s="957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ca="1" si="27"/>
        <v>0</v>
      </c>
      <c r="F149" s="546">
        <f t="shared" ca="1" si="27"/>
        <v>0</v>
      </c>
      <c r="G149" s="546">
        <f t="shared" ca="1" si="27"/>
        <v>0</v>
      </c>
      <c r="H149" s="546">
        <f t="shared" ca="1" si="27"/>
        <v>0</v>
      </c>
    </row>
    <row r="150" spans="1:12" ht="15.75">
      <c r="A150" s="957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ca="1" si="28"/>
        <v>0</v>
      </c>
      <c r="F150" s="546">
        <f t="shared" ca="1" si="28"/>
        <v>0</v>
      </c>
      <c r="G150" s="546">
        <f t="shared" ca="1" si="28"/>
        <v>0</v>
      </c>
      <c r="H150" s="546">
        <f t="shared" ca="1" si="28"/>
        <v>0</v>
      </c>
    </row>
    <row r="151" spans="1:12" ht="15.75">
      <c r="A151" s="957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ca="1" si="29"/>
        <v>0</v>
      </c>
      <c r="F151" s="546">
        <f t="shared" ca="1" si="29"/>
        <v>0</v>
      </c>
      <c r="G151" s="546">
        <f t="shared" ca="1" si="29"/>
        <v>0</v>
      </c>
      <c r="H151" s="546">
        <f t="shared" ca="1" si="29"/>
        <v>0</v>
      </c>
    </row>
    <row r="152" spans="1:12">
      <c r="A152" s="957"/>
    </row>
    <row r="153" spans="1:12" ht="15.75" thickBot="1">
      <c r="A153" s="958"/>
    </row>
    <row r="154" spans="1:12" s="537" customFormat="1" ht="31.9" customHeight="1" thickTop="1">
      <c r="A154" s="959" t="s">
        <v>1459</v>
      </c>
    </row>
    <row r="155" spans="1:12" ht="15.75" thickBot="1">
      <c r="A155" s="960"/>
    </row>
    <row r="156" spans="1:12" ht="26.25" thickBot="1">
      <c r="A156" s="960"/>
      <c r="B156" s="894" t="s">
        <v>1373</v>
      </c>
      <c r="C156" s="895"/>
      <c r="D156" s="896"/>
    </row>
    <row r="157" spans="1:12">
      <c r="A157" s="960"/>
    </row>
    <row r="158" spans="1:12" ht="15.75" thickBot="1">
      <c r="A158" s="960"/>
    </row>
    <row r="159" spans="1:12" ht="19.5" thickBot="1">
      <c r="A159" s="960"/>
      <c r="B159" s="893" t="s">
        <v>1374</v>
      </c>
      <c r="C159" s="893"/>
      <c r="D159" s="893"/>
      <c r="E159" s="893"/>
      <c r="F159" s="893"/>
      <c r="G159" s="893"/>
      <c r="H159" s="893"/>
      <c r="J159" s="906" t="s">
        <v>1436</v>
      </c>
      <c r="K159" s="907"/>
      <c r="L159" s="908"/>
    </row>
    <row r="160" spans="1:12" ht="16.5" thickBot="1">
      <c r="A160" s="960"/>
      <c r="B160" s="39"/>
      <c r="C160" s="888" t="s">
        <v>1131</v>
      </c>
      <c r="D160" s="888"/>
      <c r="E160" s="888" t="s">
        <v>1076</v>
      </c>
      <c r="F160" s="888"/>
      <c r="G160" s="888" t="s">
        <v>1132</v>
      </c>
      <c r="H160" s="888"/>
      <c r="J160" s="909"/>
      <c r="K160" s="910"/>
      <c r="L160" s="911"/>
    </row>
    <row r="161" spans="1:12" ht="32.25" thickBot="1">
      <c r="A161" s="960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7" t="s">
        <v>343</v>
      </c>
      <c r="K161" s="914" t="s">
        <v>1435</v>
      </c>
      <c r="L161" s="916" t="s">
        <v>1462</v>
      </c>
    </row>
    <row r="162" spans="1:12" ht="15.75">
      <c r="A162" s="960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8"/>
      <c r="K162" s="915"/>
      <c r="L162" s="917"/>
    </row>
    <row r="163" spans="1:12" ht="15.75">
      <c r="A163" s="960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1" t="str">
        <f>'G-1 All Habitats'!$V$3</f>
        <v>V.High</v>
      </c>
      <c r="K163" s="89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89" t="str">
        <f>IF(K163=0,"",(K163/(SUM($K$100:$K$109)))*100)</f>
        <v/>
      </c>
    </row>
    <row r="164" spans="1:12" ht="15.75">
      <c r="A164" s="960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2"/>
      <c r="K164" s="900"/>
      <c r="L164" s="890"/>
    </row>
    <row r="165" spans="1:12" ht="15.75">
      <c r="A165" s="960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1" t="str">
        <f>'G-1 All Habitats'!$V$4</f>
        <v>High</v>
      </c>
      <c r="K165" s="89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89" t="str">
        <f t="shared" ref="L165" si="33">IF(K165=0,"",(K165/(SUM($K$100:$K$109)))*100)</f>
        <v/>
      </c>
    </row>
    <row r="166" spans="1:12" ht="15.75">
      <c r="A166" s="960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2"/>
      <c r="K166" s="900"/>
      <c r="L166" s="890"/>
    </row>
    <row r="167" spans="1:12">
      <c r="A167" s="960"/>
      <c r="J167" s="891" t="str">
        <f>'G-1 All Habitats'!$V$5</f>
        <v>Medium</v>
      </c>
      <c r="K167" s="89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89" t="str">
        <f t="shared" ref="L167" si="34">IF(K167=0,"",(K167/(SUM($K$100:$K$109)))*100)</f>
        <v/>
      </c>
    </row>
    <row r="168" spans="1:12">
      <c r="A168" s="960"/>
      <c r="J168" s="892"/>
      <c r="K168" s="900"/>
      <c r="L168" s="890"/>
    </row>
    <row r="169" spans="1:12">
      <c r="A169" s="960"/>
      <c r="J169" s="891" t="str">
        <f>'G-1 All Habitats'!$V$6</f>
        <v>Low</v>
      </c>
      <c r="K169" s="89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89" t="str">
        <f t="shared" ref="L169" si="35">IF(K169=0,"",(K169/(SUM($K$100:$K$109)))*100)</f>
        <v/>
      </c>
    </row>
    <row r="170" spans="1:12">
      <c r="A170" s="960"/>
      <c r="J170" s="892"/>
      <c r="K170" s="900"/>
      <c r="L170" s="890"/>
    </row>
    <row r="171" spans="1:12">
      <c r="A171" s="960"/>
    </row>
    <row r="172" spans="1:12">
      <c r="A172" s="960"/>
    </row>
    <row r="173" spans="1:12">
      <c r="A173" s="960"/>
    </row>
    <row r="174" spans="1:12">
      <c r="A174" s="960"/>
    </row>
    <row r="175" spans="1:12">
      <c r="A175" s="960"/>
    </row>
    <row r="176" spans="1:12">
      <c r="A176" s="960"/>
    </row>
    <row r="177" spans="1:8">
      <c r="A177" s="960"/>
    </row>
    <row r="178" spans="1:8" ht="15.75" thickBot="1">
      <c r="A178" s="960"/>
    </row>
    <row r="179" spans="1:8" ht="19.5" thickBot="1">
      <c r="A179" s="960"/>
      <c r="B179" s="893" t="s">
        <v>1375</v>
      </c>
      <c r="C179" s="893"/>
      <c r="D179" s="893"/>
      <c r="E179" s="893"/>
      <c r="F179" s="893"/>
      <c r="G179" s="893"/>
      <c r="H179" s="893"/>
    </row>
    <row r="180" spans="1:8" ht="16.5" thickBot="1">
      <c r="A180" s="960"/>
      <c r="B180" s="39"/>
      <c r="C180" s="888" t="s">
        <v>1131</v>
      </c>
      <c r="D180" s="888"/>
      <c r="E180" s="888" t="s">
        <v>1452</v>
      </c>
      <c r="F180" s="888"/>
      <c r="G180" s="888" t="s">
        <v>1134</v>
      </c>
      <c r="H180" s="888"/>
    </row>
    <row r="181" spans="1:8" ht="48" thickBot="1">
      <c r="A181" s="960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>
      <c r="A182" s="960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75">
      <c r="A183" s="960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75">
      <c r="A184" s="960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75">
      <c r="A185" s="960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75">
      <c r="A186" s="960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>
      <c r="A187" s="960"/>
      <c r="B187" s="44"/>
      <c r="C187" s="44"/>
      <c r="D187" s="44"/>
      <c r="E187" s="44"/>
      <c r="F187" s="44"/>
      <c r="G187" s="44"/>
      <c r="H187" s="44"/>
    </row>
    <row r="188" spans="1:8">
      <c r="A188" s="960"/>
      <c r="B188" s="44"/>
      <c r="C188" s="44"/>
      <c r="D188" s="44"/>
      <c r="E188" s="44"/>
      <c r="F188" s="44"/>
      <c r="G188" s="44"/>
      <c r="H188" s="44"/>
    </row>
    <row r="189" spans="1:8">
      <c r="A189" s="960"/>
      <c r="B189" s="44"/>
      <c r="C189" s="44"/>
      <c r="D189" s="44"/>
      <c r="E189" s="44"/>
      <c r="F189" s="44"/>
      <c r="G189" s="44"/>
      <c r="H189" s="44"/>
    </row>
    <row r="190" spans="1:8">
      <c r="A190" s="960"/>
      <c r="B190" s="44"/>
      <c r="C190" s="44"/>
      <c r="D190" s="44"/>
      <c r="E190" s="44"/>
      <c r="F190" s="44"/>
      <c r="G190" s="44"/>
      <c r="H190" s="44"/>
    </row>
    <row r="191" spans="1:8">
      <c r="A191" s="960"/>
      <c r="B191" s="44"/>
      <c r="C191" s="44"/>
      <c r="D191" s="44"/>
      <c r="E191" s="44"/>
      <c r="F191" s="44"/>
      <c r="G191" s="44"/>
      <c r="H191" s="44"/>
    </row>
    <row r="192" spans="1:8">
      <c r="A192" s="960"/>
      <c r="B192" s="44"/>
      <c r="C192" s="44"/>
      <c r="D192" s="44"/>
      <c r="E192" s="44"/>
      <c r="F192" s="44"/>
      <c r="G192" s="44"/>
      <c r="H192" s="44"/>
    </row>
    <row r="193" spans="1:8">
      <c r="A193" s="960"/>
      <c r="B193" s="44"/>
      <c r="C193" s="44"/>
      <c r="D193" s="44"/>
      <c r="E193" s="44"/>
      <c r="F193" s="44"/>
      <c r="G193" s="44"/>
      <c r="H193" s="44"/>
    </row>
    <row r="194" spans="1:8">
      <c r="A194" s="960"/>
      <c r="B194" s="44"/>
      <c r="C194" s="44"/>
      <c r="D194" s="44"/>
      <c r="E194" s="44"/>
      <c r="F194" s="44"/>
      <c r="G194" s="44"/>
      <c r="H194" s="44"/>
    </row>
    <row r="195" spans="1:8">
      <c r="A195" s="960"/>
      <c r="B195" s="44"/>
      <c r="C195" s="44"/>
    </row>
    <row r="196" spans="1:8">
      <c r="A196" s="960"/>
      <c r="B196" s="44"/>
      <c r="C196" s="44"/>
    </row>
    <row r="197" spans="1:8">
      <c r="A197" s="960"/>
      <c r="B197" s="44"/>
      <c r="C197" s="44"/>
    </row>
    <row r="198" spans="1:8" ht="15.75" thickBot="1">
      <c r="A198" s="960"/>
      <c r="B198" s="44"/>
      <c r="C198" s="44"/>
    </row>
    <row r="199" spans="1:8" ht="19.5" thickBot="1">
      <c r="A199" s="960"/>
      <c r="B199" s="893" t="s">
        <v>1376</v>
      </c>
      <c r="C199" s="893"/>
      <c r="D199" s="893"/>
      <c r="E199" s="893"/>
      <c r="F199" s="893"/>
      <c r="G199" s="893"/>
      <c r="H199" s="893"/>
    </row>
    <row r="200" spans="1:8" ht="16.5" thickBot="1">
      <c r="A200" s="960"/>
      <c r="B200" s="39"/>
      <c r="C200" s="888" t="s">
        <v>1131</v>
      </c>
      <c r="D200" s="888"/>
      <c r="E200" s="888" t="s">
        <v>1076</v>
      </c>
      <c r="F200" s="888"/>
      <c r="G200" s="888" t="s">
        <v>1132</v>
      </c>
      <c r="H200" s="888"/>
    </row>
    <row r="201" spans="1:8" ht="32.25" thickBot="1">
      <c r="A201" s="960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>
      <c r="A202" s="960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75">
      <c r="A203" s="960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75">
      <c r="A204" s="960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75">
      <c r="A205" s="960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75">
      <c r="A206" s="960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>
      <c r="A207" s="960"/>
      <c r="B207" s="44"/>
      <c r="C207" s="44"/>
      <c r="D207" s="44"/>
      <c r="E207" s="44"/>
      <c r="F207" s="44"/>
      <c r="G207" s="44"/>
      <c r="H207" s="44"/>
    </row>
    <row r="208" spans="1:8">
      <c r="A208" s="960"/>
      <c r="B208" s="44"/>
      <c r="C208" s="44"/>
      <c r="D208" s="44"/>
      <c r="E208" s="44"/>
      <c r="F208" s="44"/>
      <c r="G208" s="44"/>
      <c r="H208" s="44"/>
    </row>
    <row r="209" spans="1:8">
      <c r="A209" s="960"/>
      <c r="B209" s="44"/>
      <c r="C209" s="44"/>
      <c r="D209" s="44"/>
      <c r="E209" s="44"/>
      <c r="F209" s="44"/>
      <c r="G209" s="44"/>
      <c r="H209" s="44"/>
    </row>
    <row r="210" spans="1:8">
      <c r="A210" s="960"/>
      <c r="B210" s="44"/>
      <c r="C210" s="44"/>
      <c r="D210" s="44"/>
      <c r="E210" s="44"/>
      <c r="F210" s="44"/>
      <c r="G210" s="44"/>
      <c r="H210" s="44"/>
    </row>
    <row r="211" spans="1:8">
      <c r="B211" s="44"/>
      <c r="C211" s="44"/>
      <c r="D211" s="44"/>
      <c r="E211" s="44"/>
      <c r="F211" s="44"/>
      <c r="G211" s="44"/>
      <c r="H211" s="44"/>
    </row>
    <row r="212" spans="1:8">
      <c r="B212" s="44"/>
      <c r="C212" s="44"/>
      <c r="D212" s="44"/>
      <c r="E212" s="44"/>
      <c r="F212" s="44"/>
      <c r="G212" s="44"/>
      <c r="H212" s="44"/>
    </row>
    <row r="213" spans="1:8">
      <c r="B213" s="44"/>
      <c r="C213" s="44"/>
      <c r="D213" s="44"/>
      <c r="E213" s="44"/>
      <c r="F213" s="44"/>
      <c r="G213" s="44"/>
      <c r="H213" s="44"/>
    </row>
    <row r="214" spans="1:8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:V303"/>
  <sheetViews>
    <sheetView showGridLines="0" showRowColHeaders="0" topLeftCell="A79" zoomScaleNormal="100" workbookViewId="0"/>
  </sheetViews>
  <sheetFormatPr defaultColWidth="0" defaultRowHeight="15" zeroHeight="1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>
      <c r="A2" s="44"/>
      <c r="B2" s="965" t="s">
        <v>1334</v>
      </c>
      <c r="C2" s="966"/>
      <c r="D2" s="966"/>
      <c r="E2" s="966"/>
      <c r="F2" s="966"/>
      <c r="G2" s="96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>
      <c r="A3" s="44"/>
      <c r="B3" s="970" t="s">
        <v>1331</v>
      </c>
      <c r="C3" s="972" t="s">
        <v>1332</v>
      </c>
      <c r="D3" s="972"/>
      <c r="E3" s="972"/>
      <c r="F3" s="972"/>
      <c r="G3" s="968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>
      <c r="A4" s="44"/>
      <c r="B4" s="971"/>
      <c r="C4" s="973"/>
      <c r="D4" s="973"/>
      <c r="E4" s="973"/>
      <c r="F4" s="973"/>
      <c r="G4" s="969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25">
      <c r="A5" s="44"/>
      <c r="B5" s="160" t="s">
        <v>342</v>
      </c>
      <c r="C5" s="974" t="s">
        <v>850</v>
      </c>
      <c r="D5" s="974"/>
      <c r="E5" s="974"/>
      <c r="F5" s="974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>
      <c r="A6" s="44"/>
      <c r="B6" s="160" t="s">
        <v>5</v>
      </c>
      <c r="C6" s="962" t="s">
        <v>985</v>
      </c>
      <c r="D6" s="962"/>
      <c r="E6" s="962"/>
      <c r="F6" s="962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>
      <c r="A7" s="44"/>
      <c r="B7" s="160" t="s">
        <v>6</v>
      </c>
      <c r="C7" s="963" t="s">
        <v>984</v>
      </c>
      <c r="D7" s="963"/>
      <c r="E7" s="963"/>
      <c r="F7" s="963"/>
      <c r="G7" s="183" t="str">
        <f ca="1"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.75" thickBot="1">
      <c r="A8" s="44"/>
      <c r="B8" s="162" t="s">
        <v>8</v>
      </c>
      <c r="C8" s="964" t="s">
        <v>986</v>
      </c>
      <c r="D8" s="964"/>
      <c r="E8" s="964"/>
      <c r="F8" s="964"/>
      <c r="G8" s="205" t="str">
        <f ca="1"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.75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>
      <c r="A11" s="44"/>
      <c r="B11" s="965" t="s">
        <v>1329</v>
      </c>
      <c r="C11" s="966"/>
      <c r="D11" s="966"/>
      <c r="E11" s="966"/>
      <c r="F11" s="966"/>
      <c r="G11" s="967"/>
      <c r="H11" s="44"/>
      <c r="I11" s="977" t="s">
        <v>1343</v>
      </c>
      <c r="J11" s="978"/>
      <c r="K11" s="44"/>
      <c r="L11" s="44"/>
      <c r="M11" s="44"/>
      <c r="N11" s="44"/>
      <c r="O11" s="44"/>
      <c r="P11" s="44"/>
      <c r="Q11" s="44"/>
    </row>
    <row r="12" spans="1:17" s="46" customFormat="1" ht="48" thickBot="1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5" t="str">
        <f>IF($G$33&lt;0,"Very high distinctiveness unit defecit - CHECK DATA","")</f>
        <v/>
      </c>
      <c r="J13" s="985"/>
      <c r="K13" s="44"/>
      <c r="L13" s="44"/>
      <c r="M13" s="44"/>
      <c r="N13" s="44"/>
      <c r="O13" s="44"/>
      <c r="P13" s="44"/>
      <c r="Q13" s="44"/>
    </row>
    <row r="14" spans="1:17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.75" thickBot="1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.75" thickBot="1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.75" thickBo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>
      <c r="A39" s="44"/>
      <c r="B39" s="965" t="s">
        <v>1328</v>
      </c>
      <c r="C39" s="966"/>
      <c r="D39" s="966"/>
      <c r="E39" s="966"/>
      <c r="F39" s="966"/>
      <c r="G39" s="967"/>
      <c r="H39" s="44"/>
      <c r="I39" s="977" t="s">
        <v>1340</v>
      </c>
      <c r="J39" s="978"/>
      <c r="K39" s="44"/>
      <c r="L39" s="44"/>
      <c r="M39" s="44"/>
    </row>
    <row r="40" spans="1:17" ht="47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5.75" thickBot="1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.75" thickBot="1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.75" thickBot="1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.75" thickBo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7.75" thickBot="1">
      <c r="A87" s="44"/>
      <c r="B87" s="982" t="s">
        <v>1327</v>
      </c>
      <c r="C87" s="983"/>
      <c r="D87" s="983"/>
      <c r="E87" s="983"/>
      <c r="F87" s="983"/>
      <c r="G87" s="984"/>
      <c r="H87" s="44"/>
      <c r="I87" s="975" t="s">
        <v>1339</v>
      </c>
      <c r="J87" s="976"/>
      <c r="K87" s="44"/>
      <c r="L87" s="44"/>
      <c r="M87" s="44"/>
      <c r="N87" s="44"/>
      <c r="O87" s="44"/>
    </row>
    <row r="88" spans="1:17" ht="48" thickBot="1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 ca="1">SUMIF(G89:G114,"&gt;0")</f>
        <v>145.75988740069602</v>
      </c>
      <c r="K88" s="44"/>
      <c r="L88" s="44"/>
    </row>
    <row r="89" spans="1:17" ht="30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79">
        <f>SUM(F89:F93)</f>
        <v>0</v>
      </c>
      <c r="H89" s="44"/>
      <c r="I89" s="160" t="s">
        <v>1337</v>
      </c>
      <c r="J89" s="408">
        <f ca="1">SUMIF(G89:G114,"&lt;0")</f>
        <v>0</v>
      </c>
      <c r="K89" s="44"/>
      <c r="L89" s="44"/>
    </row>
    <row r="90" spans="1:17" ht="30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0"/>
      <c r="H90" s="44"/>
      <c r="I90" s="160" t="s">
        <v>1338</v>
      </c>
      <c r="J90" s="408">
        <f ca="1">IF(J40+J12+J89&gt;0,J40+J12+J89,0)</f>
        <v>0</v>
      </c>
    </row>
    <row r="91" spans="1:17" ht="15.75" thickBot="1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80"/>
      <c r="H91" s="44"/>
      <c r="I91" s="162" t="s">
        <v>1347</v>
      </c>
      <c r="J91" s="409">
        <f ca="1">J90+J88</f>
        <v>145.75988740069602</v>
      </c>
      <c r="K91" s="44"/>
      <c r="L91" s="44"/>
    </row>
    <row r="92" spans="1:17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0"/>
      <c r="H92" s="44"/>
      <c r="I92" s="44"/>
      <c r="J92" s="44"/>
      <c r="K92" s="44"/>
      <c r="L92" s="44"/>
    </row>
    <row r="93" spans="1:17" ht="15.75" thickBot="1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1"/>
      <c r="H93" s="44"/>
      <c r="I93" s="44"/>
      <c r="J93" s="44"/>
      <c r="K93" s="44"/>
      <c r="L93" s="44"/>
    </row>
    <row r="94" spans="1:17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79">
        <f>SUM(F94:F96)</f>
        <v>142.75933464116801</v>
      </c>
      <c r="H94" s="44"/>
      <c r="I94" s="44"/>
      <c r="J94" s="44"/>
      <c r="K94" s="44"/>
      <c r="L94" s="44"/>
    </row>
    <row r="95" spans="1:17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142.75933464116801</v>
      </c>
      <c r="E95" s="112">
        <f>'G-2 Habitat groups'!BD84</f>
        <v>0</v>
      </c>
      <c r="F95" s="112">
        <f>'G-2 Habitat groups'!BE84</f>
        <v>142.75933464116801</v>
      </c>
      <c r="G95" s="980"/>
      <c r="H95" s="44"/>
      <c r="I95" s="44"/>
      <c r="J95" s="44"/>
      <c r="K95" s="44"/>
      <c r="L95" s="44"/>
    </row>
    <row r="96" spans="1:17" ht="15.75" thickBot="1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81"/>
      <c r="H96" s="44"/>
      <c r="I96" s="44"/>
      <c r="J96" s="44"/>
      <c r="K96" s="44"/>
      <c r="L96" s="44"/>
      <c r="M96" s="44"/>
    </row>
    <row r="97" spans="1:15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79">
        <f ca="1">SUM(F97:F102)</f>
        <v>3.0005527595279995</v>
      </c>
      <c r="H97" s="44"/>
      <c r="I97" s="44"/>
      <c r="J97" s="44"/>
      <c r="K97" s="44"/>
      <c r="L97" s="44"/>
      <c r="M97" s="44"/>
    </row>
    <row r="98" spans="1:15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0"/>
      <c r="H98" s="44"/>
      <c r="I98" s="44"/>
      <c r="J98" s="44"/>
      <c r="K98" s="44"/>
      <c r="L98" s="44"/>
      <c r="M98" s="44"/>
    </row>
    <row r="99" spans="1:15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80"/>
      <c r="H99" s="44"/>
      <c r="I99" s="44"/>
      <c r="J99" s="44"/>
      <c r="K99" s="44"/>
      <c r="L99" s="44"/>
      <c r="M99" s="44"/>
    </row>
    <row r="100" spans="1:15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0"/>
      <c r="H100" s="44"/>
      <c r="I100" s="44"/>
      <c r="J100" s="44"/>
      <c r="K100" s="44"/>
      <c r="L100" s="44"/>
      <c r="M100" s="44"/>
    </row>
    <row r="101" spans="1:15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0"/>
      <c r="H101" s="44"/>
      <c r="I101" s="44"/>
      <c r="J101" s="44"/>
      <c r="K101" s="44"/>
      <c r="L101" s="44"/>
      <c r="M101" s="44"/>
      <c r="N101" s="44"/>
      <c r="O101" s="44"/>
    </row>
    <row r="102" spans="1:15" ht="15.75" thickBot="1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 ca="1">'G-2 Habitat groups'!BB91</f>
        <v>3.0005527595279995</v>
      </c>
      <c r="E102" s="116">
        <f>'G-2 Habitat groups'!BD91</f>
        <v>0</v>
      </c>
      <c r="F102" s="116">
        <f ca="1">'G-2 Habitat groups'!BE91</f>
        <v>3.0005527595279995</v>
      </c>
      <c r="G102" s="981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79">
        <f>SUM(F103:F104)</f>
        <v>0</v>
      </c>
      <c r="H103" s="44"/>
      <c r="K103" s="44"/>
      <c r="L103" s="44"/>
      <c r="M103" s="44"/>
      <c r="N103" s="44"/>
      <c r="O103" s="44"/>
    </row>
    <row r="104" spans="1:15" ht="15.75" thickBot="1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1"/>
      <c r="H104" s="44"/>
      <c r="K104" s="44"/>
      <c r="L104" s="44"/>
      <c r="M104" s="44"/>
      <c r="N104" s="44"/>
      <c r="O104" s="44"/>
    </row>
    <row r="105" spans="1:15" ht="15.75" thickBot="1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7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0"/>
      <c r="H107" s="44"/>
      <c r="I107" s="44"/>
      <c r="J107" s="44"/>
      <c r="K107" s="44"/>
      <c r="L107" s="44"/>
      <c r="M107" s="44"/>
      <c r="N107" s="44"/>
      <c r="O107" s="44"/>
    </row>
    <row r="108" spans="1:15" ht="15.75" thickBot="1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1"/>
      <c r="H108" s="44"/>
      <c r="I108" s="44"/>
      <c r="J108" s="44"/>
      <c r="K108" s="44"/>
      <c r="L108" s="44"/>
      <c r="M108" s="44"/>
      <c r="N108" s="44"/>
      <c r="O108" s="44"/>
    </row>
    <row r="109" spans="1:15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7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0"/>
      <c r="H110" s="44"/>
      <c r="I110" s="44"/>
      <c r="J110" s="44"/>
      <c r="K110" s="44"/>
      <c r="L110" s="44"/>
      <c r="M110" s="44"/>
      <c r="N110" s="44"/>
      <c r="O110" s="44"/>
    </row>
    <row r="111" spans="1:15" ht="15.75" thickBot="1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1"/>
      <c r="H111" s="44"/>
      <c r="I111" s="44"/>
      <c r="J111" s="44"/>
      <c r="K111" s="44"/>
      <c r="L111" s="44"/>
      <c r="M111" s="44"/>
      <c r="N111" s="44"/>
      <c r="O111" s="44"/>
    </row>
    <row r="112" spans="1:15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7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1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>
      <c r="A115" s="44"/>
      <c r="B115" s="44"/>
      <c r="C115" s="44"/>
      <c r="D115" s="579">
        <f ca="1">SUM(D89:D114)</f>
        <v>145.75988740069602</v>
      </c>
      <c r="E115" s="580">
        <f>SUM(E89:E114)</f>
        <v>0</v>
      </c>
      <c r="F115" s="581">
        <f ca="1">SUM(F89:F114)</f>
        <v>145.75988740069602</v>
      </c>
      <c r="H115" s="44"/>
      <c r="I115" s="44"/>
      <c r="J115" s="44"/>
      <c r="K115" s="44"/>
      <c r="L115" s="44"/>
      <c r="M115" s="44"/>
      <c r="N115" s="44"/>
      <c r="O115" s="44"/>
    </row>
    <row r="116" spans="1:17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.75" thickBo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>
      <c r="A122" s="44"/>
      <c r="B122" s="965" t="s">
        <v>1326</v>
      </c>
      <c r="C122" s="966"/>
      <c r="D122" s="966"/>
      <c r="E122" s="966"/>
      <c r="F122" s="96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5" t="s">
        <v>1341</v>
      </c>
      <c r="J123" s="976"/>
      <c r="K123" s="44"/>
      <c r="L123" s="44"/>
      <c r="M123" s="44"/>
      <c r="N123" s="44"/>
    </row>
    <row r="124" spans="1:17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-159.76</v>
      </c>
      <c r="E124" s="111">
        <f>'G-2 Habitat groups'!BD111</f>
        <v>0</v>
      </c>
      <c r="F124" s="112">
        <f>'G-2 Habitat groups'!BE111</f>
        <v>-159.76</v>
      </c>
      <c r="G124" s="44"/>
      <c r="H124" s="44"/>
      <c r="I124" s="159" t="s">
        <v>1342</v>
      </c>
      <c r="J124" s="163">
        <f>F160</f>
        <v>63.478594182279998</v>
      </c>
      <c r="K124" s="44"/>
      <c r="L124" s="44"/>
      <c r="M124" s="44"/>
      <c r="N124" s="44"/>
    </row>
    <row r="125" spans="1:17" ht="15.75" thickBot="1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 ca="1">J124+J91</f>
        <v>209.23848158297602</v>
      </c>
      <c r="K125" s="44"/>
      <c r="L125" s="44"/>
      <c r="M125" s="44"/>
      <c r="N125" s="44"/>
    </row>
    <row r="126" spans="1:17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223.10928418227999</v>
      </c>
      <c r="E130" s="111">
        <f>'G-2 Habitat groups'!BD117</f>
        <v>0</v>
      </c>
      <c r="F130" s="112">
        <f>'G-2 Habitat groups'!BE117</f>
        <v>223.10928418227999</v>
      </c>
      <c r="G130" s="44"/>
      <c r="H130" s="44"/>
      <c r="I130" s="44"/>
      <c r="J130" s="44"/>
      <c r="K130" s="44"/>
      <c r="L130" s="44"/>
      <c r="M130" s="44"/>
      <c r="N130" s="44"/>
    </row>
    <row r="131" spans="1:1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0.12931000000000001</v>
      </c>
      <c r="E135" s="111">
        <f>'G-2 Habitat groups'!BD122</f>
        <v>0</v>
      </c>
      <c r="F135" s="112">
        <f>'G-2 Habitat groups'!BE122</f>
        <v>0.12931000000000001</v>
      </c>
      <c r="G135" s="44"/>
      <c r="H135" s="44"/>
      <c r="I135" s="44"/>
      <c r="J135" s="44"/>
      <c r="K135" s="44"/>
      <c r="L135" s="44"/>
      <c r="M135" s="44"/>
      <c r="N135" s="44"/>
    </row>
    <row r="136" spans="1:1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0</v>
      </c>
      <c r="E147" s="111">
        <f>'G-2 Habitat groups'!BD134</f>
        <v>0</v>
      </c>
      <c r="F147" s="112">
        <f>'G-2 Habitat groups'!BE134</f>
        <v>0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.75" thickBot="1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.75" thickBot="1">
      <c r="A160" s="44"/>
      <c r="B160" s="44"/>
      <c r="C160" s="44"/>
      <c r="D160" s="419">
        <f>SUM(D124:D159)</f>
        <v>63.478594182279998</v>
      </c>
      <c r="E160" s="44"/>
      <c r="F160" s="419">
        <f>SUM(F124:F159)</f>
        <v>63.478594182279998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>
      <c r="A259" s="44"/>
    </row>
    <row r="260" spans="1:17" hidden="1">
      <c r="A260" s="44"/>
    </row>
    <row r="261" spans="1:17" hidden="1">
      <c r="A261" s="44"/>
    </row>
    <row r="262" spans="1:17" hidden="1">
      <c r="A262" s="44"/>
    </row>
    <row r="263" spans="1:17" hidden="1">
      <c r="A263" s="44"/>
    </row>
    <row r="264" spans="1:17" hidden="1">
      <c r="A264" s="44"/>
    </row>
    <row r="265" spans="1:17" hidden="1">
      <c r="A265" s="44"/>
    </row>
    <row r="266" spans="1:17" hidden="1">
      <c r="A266" s="44"/>
    </row>
    <row r="267" spans="1:17" hidden="1">
      <c r="A267" s="44"/>
    </row>
    <row r="268" spans="1:17" hidden="1">
      <c r="A268" s="44"/>
    </row>
    <row r="269" spans="1:17" hidden="1">
      <c r="A269" s="44"/>
    </row>
    <row r="270" spans="1:17" hidden="1">
      <c r="A270" s="44"/>
    </row>
    <row r="271" spans="1:17" hidden="1">
      <c r="A271" s="44"/>
    </row>
    <row r="272" spans="1:17" hidden="1">
      <c r="A272" s="44"/>
    </row>
    <row r="273" spans="1:1" hidden="1">
      <c r="A273" s="44"/>
    </row>
    <row r="274" spans="1:1" hidden="1">
      <c r="A274" s="44"/>
    </row>
    <row r="275" spans="1:1" hidden="1">
      <c r="A275" s="44"/>
    </row>
    <row r="276" spans="1:1" hidden="1">
      <c r="A276" s="44"/>
    </row>
    <row r="277" spans="1:1" hidden="1">
      <c r="A277" s="44"/>
    </row>
    <row r="278" spans="1:1" hidden="1">
      <c r="A278" s="44"/>
    </row>
    <row r="279" spans="1:1" hidden="1">
      <c r="A279" s="44"/>
    </row>
    <row r="280" spans="1:1" hidden="1">
      <c r="A280" s="44"/>
    </row>
    <row r="281" spans="1:1" hidden="1">
      <c r="A281" s="44"/>
    </row>
    <row r="282" spans="1:1" hidden="1">
      <c r="A282" s="44"/>
    </row>
    <row r="283" spans="1:1" hidden="1">
      <c r="A283" s="44"/>
    </row>
    <row r="284" spans="1:1" hidden="1">
      <c r="A284" s="44"/>
    </row>
    <row r="285" spans="1:1" hidden="1">
      <c r="A285" s="44"/>
    </row>
    <row r="286" spans="1:1" hidden="1">
      <c r="A286" s="44"/>
    </row>
    <row r="287" spans="1:1" hidden="1">
      <c r="A287" s="44"/>
    </row>
    <row r="288" spans="1:1" hidden="1">
      <c r="A288" s="44"/>
    </row>
    <row r="289" spans="1:1" hidden="1">
      <c r="A289" s="44"/>
    </row>
    <row r="290" spans="1:1" hidden="1">
      <c r="A290" s="44"/>
    </row>
    <row r="291" spans="1:1" hidden="1">
      <c r="A291" s="44"/>
    </row>
    <row r="292" spans="1:1" hidden="1">
      <c r="A292" s="44"/>
    </row>
    <row r="293" spans="1:1" hidden="1">
      <c r="A293" s="44"/>
    </row>
    <row r="294" spans="1:1" hidden="1">
      <c r="A294" s="44"/>
    </row>
    <row r="295" spans="1:1" hidden="1">
      <c r="A295" s="44"/>
    </row>
    <row r="296" spans="1:1" hidden="1">
      <c r="A296" s="44"/>
    </row>
    <row r="297" spans="1:1" hidden="1">
      <c r="A297" s="44"/>
    </row>
    <row r="298" spans="1:1" hidden="1">
      <c r="A298" s="44"/>
    </row>
    <row r="299" spans="1:1"/>
    <row r="300" spans="1:1"/>
    <row r="301" spans="1:1"/>
    <row r="302" spans="1:1"/>
    <row r="303" spans="1:1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AQ275"/>
  <sheetViews>
    <sheetView showRowColHeaders="0" topLeftCell="C1" zoomScaleNormal="100" workbookViewId="0">
      <pane ySplit="10" topLeftCell="A11" activePane="bottomLeft" state="frozen"/>
      <selection pane="bottomLeft" activeCell="K12" sqref="K12"/>
    </sheetView>
  </sheetViews>
  <sheetFormatPr defaultColWidth="0" defaultRowHeight="15" zeroHeight="1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.75" thickBot="1"/>
    <row r="2" spans="1:43" ht="19.5" thickBot="1">
      <c r="D2" s="992" t="str">
        <f>IF(Start!$F$12="","",Start!$F$12)</f>
        <v>Cotmoor Solar farm</v>
      </c>
      <c r="E2" s="993"/>
      <c r="F2" s="994"/>
    </row>
    <row r="3" spans="1:43" ht="15.6" customHeight="1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/>
    <row r="6" spans="1:43" ht="16.149999999999999" customHeight="1"/>
    <row r="7" spans="1:43"/>
    <row r="8" spans="1:43" ht="31.15" customHeight="1" thickBot="1">
      <c r="D8" s="53"/>
      <c r="E8" s="53"/>
      <c r="F8" s="53"/>
    </row>
    <row r="9" spans="1:43" ht="29.45" customHeight="1" thickBot="1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30">
      <c r="A11" s="52" t="str">
        <f>IFERROR(INDEX('G-1 All Habitats'!$AG$3:$AG$15,MATCH(E11,'G-1 All Habitats'!$AF$3:$AF$15,0)),"")</f>
        <v>Woodland_and_forest</v>
      </c>
      <c r="B11" s="52" t="str">
        <f>IFERROR(INDEX('G-8 Condition Look up'!$I$4:$I$131,MATCH(G11,'G-8 Condition Look up'!$A$4:$A$131,0)),"")</f>
        <v>Cond4</v>
      </c>
      <c r="D11" s="73">
        <v>1</v>
      </c>
      <c r="E11" s="74" t="s">
        <v>163</v>
      </c>
      <c r="F11" s="74" t="s">
        <v>23</v>
      </c>
      <c r="G11" s="75" t="str">
        <f>IFERROR(INDEX('G-1 All Habitats'!$B$3:$B$130,MATCH(F11,'G-1 All Habitats'!$A$3:$A$130,0)),"")</f>
        <v>Woodland and forest - Lowland mixed deciduous woodland</v>
      </c>
      <c r="H11" s="76">
        <v>0.94</v>
      </c>
      <c r="I11" s="77" t="str">
        <f>IF(G11="","",VLOOKUP(G11,'G-1 All Habitats'!$B$2:$M$130,10,FALSE))</f>
        <v>High</v>
      </c>
      <c r="J11" s="78">
        <f>IFERROR(VLOOKUP(I11,'G-1 All Habitats'!$V$3:$W$7,2,FALSE),"")</f>
        <v>6</v>
      </c>
      <c r="K11" s="79" t="s">
        <v>1</v>
      </c>
      <c r="L11" s="78">
        <f>IFERROR(INDEX('G-8 Condition Look up'!$A$3:$H$131,MATCH(G11,'G-8 Condition Look up'!$A$3:$A$131,0),MATCH(K11,'G-8 Condition Look up'!$A$3:$H$3,0)),"")</f>
        <v>2</v>
      </c>
      <c r="M11" s="79" t="s">
        <v>969</v>
      </c>
      <c r="N11" s="619" t="str">
        <f>IF(M11="","",IF(VLOOKUP(M11,'G-3 Multipliers'!$L$3:$N$6,2,FALSE)=0,"Spatial Data Missing",VLOOKUP(M11,'G-3 Multipliers'!$L$3:$N$6,2,FALSE)))</f>
        <v xml:space="preserve">Medium strategic significance </v>
      </c>
      <c r="O11" s="617">
        <f>IF(M11="","",IF(VLOOKUP(M11,'G-3 Multipliers'!$L$3:$N$6,3,FALSE)=0,"Spatial Data Missing",VLOOKUP(M11,'G-3 Multipliers'!$L$3:$N$6,3,FALSE)))</f>
        <v>1.1000000000000001</v>
      </c>
      <c r="P11" s="80" t="str">
        <f>IFERROR(VLOOKUP(G11,'G-1 All Habitats'!$B$2:$M$130,12,FALSE),"")</f>
        <v>Same habitat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12.407999999999999</v>
      </c>
      <c r="R11" s="55"/>
      <c r="S11" s="79">
        <v>0.94</v>
      </c>
      <c r="T11" s="82"/>
      <c r="U11" s="83">
        <f>IFERROR(S11*J11*L11*O11,"")</f>
        <v>12.407999999999999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 t="s">
        <v>1517</v>
      </c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>
        <f t="array" ref="AL11">IFERROR(INDEX($AI$11:$AI$259, MATCH(0, IF(TRUE=$AG$11:$AG$259, COUNTIF($AL$10:$AL10, $AI$11:$AI$259), ""), 0)),"")</f>
        <v>9</v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30">
      <c r="A12" s="52" t="str">
        <f>IFERROR(INDEX('G-1 All Habitats'!$AG$3:$AG$15,MATCH(E12,'G-1 All Habitats'!$AF$3:$AF$15,0)),"")</f>
        <v>Woodland_and_forest</v>
      </c>
      <c r="B12" s="52" t="str">
        <f>IFERROR(INDEX('G-8 Condition Look up'!$I$4:$I$131,MATCH(G12,'G-8 Condition Look up'!$A$4:$A$131,0)),"")</f>
        <v>Cond4</v>
      </c>
      <c r="D12" s="89">
        <v>2</v>
      </c>
      <c r="E12" s="556" t="s">
        <v>163</v>
      </c>
      <c r="F12" s="91" t="s">
        <v>24</v>
      </c>
      <c r="G12" s="75" t="str">
        <f>IFERROR(INDEX('G-1 All Habitats'!$B$3:$B$130,MATCH(F12,'G-1 All Habitats'!$A$3:$A$130,0)),"")</f>
        <v>Woodland and forest - Other woodland; broadleaved</v>
      </c>
      <c r="H12" s="76">
        <v>0.86</v>
      </c>
      <c r="I12" s="77" t="str">
        <f>IF(G12="","",VLOOKUP(G12,'G-1 All Habitats'!$B$2:$M$130,10,FALSE))</f>
        <v>Medium</v>
      </c>
      <c r="J12" s="78">
        <f>IFERROR(VLOOKUP(I12,'G-1 All Habitats'!$V$3:$W$7,2,FALSE),"")</f>
        <v>4</v>
      </c>
      <c r="K12" s="79" t="s">
        <v>121</v>
      </c>
      <c r="L12" s="78">
        <f>IFERROR(INDEX('G-8 Condition Look up'!$A$3:$H$131,MATCH(G12,'G-8 Condition Look up'!$A$3:$A$131,0),MATCH(K12,'G-8 Condition Look up'!$A$3:$H$3,0)),"")</f>
        <v>1.5</v>
      </c>
      <c r="M12" s="79" t="s">
        <v>970</v>
      </c>
      <c r="N12" s="365" t="str">
        <f>IF(M12="","",IF(VLOOKUP(M12,'G-3 Multipliers'!$L$3:$N$6,2,FALSE)=0,"Spatial Data Missing",VLOOKUP(M12,'G-3 Multipliers'!$L$3:$N$6,2,FALSE)))</f>
        <v>Low Strategic Significance</v>
      </c>
      <c r="O12" s="617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Same broad habitat or a higher distinctiveness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5.16</v>
      </c>
      <c r="R12" s="55"/>
      <c r="S12" s="79">
        <v>0.86</v>
      </c>
      <c r="T12" s="82"/>
      <c r="U12" s="83">
        <f>IFERROR(S12*J12*L12*O12,"")</f>
        <v>5.16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 t="s">
        <v>1518</v>
      </c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2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30">
      <c r="A13" s="52" t="str">
        <f>IFERROR(INDEX('G-1 All Habitats'!$AG$3:$AG$15,MATCH(E13,'G-1 All Habitats'!$AF$3:$AF$15,0)),"")</f>
        <v>Cropland</v>
      </c>
      <c r="B13" s="52" t="str">
        <f>IFERROR(INDEX('G-8 Condition Look up'!$I$4:$I$131,MATCH(G13,'G-8 Condition Look up'!$A$4:$A$131,0)),"")</f>
        <v>Cond1</v>
      </c>
      <c r="D13" s="89">
        <v>3</v>
      </c>
      <c r="E13" s="556" t="s">
        <v>165</v>
      </c>
      <c r="F13" s="91" t="s">
        <v>45</v>
      </c>
      <c r="G13" s="75" t="str">
        <f>IFERROR(INDEX('G-1 All Habitats'!$B$3:$B$130,MATCH(F13,'G-1 All Habitats'!$A$3:$A$130,0)),"")</f>
        <v>Cropland - Cereal crops</v>
      </c>
      <c r="H13" s="76">
        <v>79.88</v>
      </c>
      <c r="I13" s="77" t="str">
        <f>IF(G13="","",VLOOKUP(G13,'G-1 All Habitats'!$B$2:$M$130,10,FALSE))</f>
        <v>Low</v>
      </c>
      <c r="J13" s="78">
        <f>IFERROR(VLOOKUP(I13,'G-1 All Habitats'!$V$3:$W$7,2,FALSE),"")</f>
        <v>2</v>
      </c>
      <c r="K13" s="79" t="s">
        <v>118</v>
      </c>
      <c r="L13" s="78">
        <f>IFERROR(INDEX('G-8 Condition Look up'!$A$3:$H$131,MATCH(G13,'G-8 Condition Look up'!$A$3:$A$131,0),MATCH(K13,'G-8 Condition Look up'!$A$3:$H$3,0)),"")</f>
        <v>1</v>
      </c>
      <c r="M13" s="79" t="s">
        <v>970</v>
      </c>
      <c r="N13" s="365" t="str">
        <f>IF(M13="","",IF(VLOOKUP(M13,'G-3 Multipliers'!$L$3:$N$6,2,FALSE)=0,"Spatial Data Missing",VLOOKUP(M13,'G-3 Multipliers'!$L$3:$N$6,2,FALSE)))</f>
        <v>Low Strategic Significance</v>
      </c>
      <c r="O13" s="617">
        <f>IF(M13="","",IF(VLOOKUP(M13,'G-3 Multipliers'!$L$3:$N$6,3,FALSE)=0,"Spatial Data Missing",VLOOKUP(M13,'G-3 Multipliers'!$L$3:$N$6,3,FALSE)))</f>
        <v>1</v>
      </c>
      <c r="P13" s="80" t="str">
        <f>IFERROR(VLOOKUP(G13,'G-1 All Habitats'!$B$2:$M$130,12,FALSE),"")</f>
        <v>Same distinctiveness or better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159.76</v>
      </c>
      <c r="R13" s="55"/>
      <c r="S13" s="79"/>
      <c r="T13" s="82"/>
      <c r="U13" s="83">
        <f t="shared" ref="U13:U76" si="3">IFERROR(S13*J13*L13*O13,"")</f>
        <v>0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79.88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159.76</v>
      </c>
      <c r="Y13" s="82"/>
      <c r="Z13" s="92" t="s">
        <v>952</v>
      </c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0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>
        <f t="array" ref="AK13">IFERROR(INDEX($AI$11:$AI$259, MATCH(0, IF(TRUE=$AF$11:$AF$259, COUNTIF($AK$10:$AK12, $AI$11:$AI$259), ""), 0)),"")</f>
        <v>6</v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30">
      <c r="A14" s="52" t="str">
        <f>IFERROR(INDEX('G-1 All Habitats'!$AG$3:$AG$15,MATCH(E14,'G-1 All Habitats'!$AF$3:$AF$15,0)),"")</f>
        <v>Grassland</v>
      </c>
      <c r="B14" s="52" t="str">
        <f>IFERROR(INDEX('G-8 Condition Look up'!$I$4:$I$131,MATCH(G14,'G-8 Condition Look up'!$A$4:$A$131,0)),"")</f>
        <v>Cond4</v>
      </c>
      <c r="D14" s="89">
        <v>4</v>
      </c>
      <c r="E14" s="91" t="s">
        <v>135</v>
      </c>
      <c r="F14" s="91" t="s">
        <v>171</v>
      </c>
      <c r="G14" s="75" t="str">
        <f>IFERROR(INDEX('G-1 All Habitats'!$B$3:$B$130,MATCH(F14,'G-1 All Habitats'!$A$3:$A$130,0)),"")</f>
        <v>Grassland - Modified grassland</v>
      </c>
      <c r="H14" s="76">
        <v>20.170000000000002</v>
      </c>
      <c r="I14" s="77" t="str">
        <f>IF(G14="","",VLOOKUP(G14,'G-1 All Habitats'!$B$2:$M$130,10,FALSE))</f>
        <v>Low</v>
      </c>
      <c r="J14" s="78">
        <f>IFERROR(VLOOKUP(I14,'G-1 All Habitats'!$V$3:$W$7,2,FALSE),"")</f>
        <v>2</v>
      </c>
      <c r="K14" s="79" t="s">
        <v>2</v>
      </c>
      <c r="L14" s="78">
        <f>IFERROR(INDEX('G-8 Condition Look up'!$A$3:$H$131,MATCH(G14,'G-8 Condition Look up'!$A$3:$A$131,0),MATCH(K14,'G-8 Condition Look up'!$A$3:$H$3,0)),"")</f>
        <v>1</v>
      </c>
      <c r="M14" s="79" t="s">
        <v>970</v>
      </c>
      <c r="N14" s="365" t="str">
        <f>IF(M14="","",IF(VLOOKUP(M14,'G-3 Multipliers'!$L$3:$N$6,2,FALSE)=0,"Spatial Data Missing",VLOOKUP(M14,'G-3 Multipliers'!$L$3:$N$6,2,FALSE)))</f>
        <v>Low Strategic Significance</v>
      </c>
      <c r="O14" s="617">
        <f>IF(M14="","",IF(VLOOKUP(M14,'G-3 Multipliers'!$L$3:$N$6,3,FALSE)=0,"Spatial Data Missing",VLOOKUP(M14,'G-3 Multipliers'!$L$3:$N$6,3,FALSE)))</f>
        <v>1</v>
      </c>
      <c r="P14" s="80" t="str">
        <f>IFERROR(VLOOKUP(G14,'G-1 All Habitats'!$B$2:$M$130,12,FALSE),"")</f>
        <v>Same distinctiveness or better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40.340000000000003</v>
      </c>
      <c r="R14" s="55"/>
      <c r="S14" s="79"/>
      <c r="T14" s="82"/>
      <c r="U14" s="83">
        <f t="shared" si="3"/>
        <v>0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20.170000000000002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40.340000000000003</v>
      </c>
      <c r="Y14" s="82"/>
      <c r="Z14" s="92" t="s">
        <v>864</v>
      </c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0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>
        <f t="array" ref="AK14">IFERROR(INDEX($AI$11:$AI$259, MATCH(0, IF(TRUE=$AF$11:$AF$259, COUNTIF($AK$10:$AK13, $AI$11:$AI$259), ""), 0)),"")</f>
        <v>8</v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30">
      <c r="A15" s="52" t="str">
        <f>IFERROR(INDEX('G-1 All Habitats'!$AG$3:$AG$15,MATCH(E15,'G-1 All Habitats'!$AF$3:$AF$15,0)),"")</f>
        <v>Grassland</v>
      </c>
      <c r="B15" s="52" t="str">
        <f>IFERROR(INDEX('G-8 Condition Look up'!$I$4:$I$131,MATCH(G15,'G-8 Condition Look up'!$A$4:$A$131,0)),"")</f>
        <v>Cond4</v>
      </c>
      <c r="D15" s="89">
        <v>5</v>
      </c>
      <c r="E15" s="556" t="s">
        <v>135</v>
      </c>
      <c r="F15" s="91" t="s">
        <v>18</v>
      </c>
      <c r="G15" s="75" t="str">
        <f>IFERROR(INDEX('G-1 All Habitats'!$B$3:$B$130,MATCH(F15,'G-1 All Habitats'!$A$3:$A$130,0)),"")</f>
        <v>Grassland - Other neutral grassland</v>
      </c>
      <c r="H15" s="76">
        <v>0.98</v>
      </c>
      <c r="I15" s="77" t="str">
        <f>IF(G15="","",VLOOKUP(G15,'G-1 All Habitats'!$B$2:$M$130,10,FALSE))</f>
        <v>Medium</v>
      </c>
      <c r="J15" s="78">
        <f>IFERROR(VLOOKUP(I15,'G-1 All Habitats'!$V$3:$W$7,2,FALSE),"")</f>
        <v>4</v>
      </c>
      <c r="K15" s="79" t="s">
        <v>2</v>
      </c>
      <c r="L15" s="78">
        <f>IFERROR(INDEX('G-8 Condition Look up'!$A$3:$H$131,MATCH(G15,'G-8 Condition Look up'!$A$3:$A$131,0),MATCH(K15,'G-8 Condition Look up'!$A$3:$H$3,0)),"")</f>
        <v>1</v>
      </c>
      <c r="M15" s="79" t="s">
        <v>970</v>
      </c>
      <c r="N15" s="365" t="str">
        <f>IF(M15="","",IF(VLOOKUP(M15,'G-3 Multipliers'!$L$3:$N$6,2,FALSE)=0,"Spatial Data Missing",VLOOKUP(M15,'G-3 Multipliers'!$L$3:$N$6,2,FALSE)))</f>
        <v>Low Strategic Significance</v>
      </c>
      <c r="O15" s="617">
        <f>IF(M15="","",IF(VLOOKUP(M15,'G-3 Multipliers'!$L$3:$N$6,3,FALSE)=0,"Spatial Data Missing",VLOOKUP(M15,'G-3 Multipliers'!$L$3:$N$6,3,FALSE)))</f>
        <v>1</v>
      </c>
      <c r="P15" s="80" t="str">
        <f>IFERROR(VLOOKUP(G15,'G-1 All Habitats'!$B$2:$M$130,12,FALSE),"")</f>
        <v>Same broad habitat or a higher distinctiveness habitat required</v>
      </c>
      <c r="Q15" s="81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3.92</v>
      </c>
      <c r="R15" s="55"/>
      <c r="S15" s="79"/>
      <c r="T15" s="82"/>
      <c r="U15" s="83">
        <f t="shared" si="3"/>
        <v>0</v>
      </c>
      <c r="V15" s="83">
        <f t="shared" si="4"/>
        <v>0</v>
      </c>
      <c r="W15" s="83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0.98</v>
      </c>
      <c r="X15" s="84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3.92</v>
      </c>
      <c r="Y15" s="82"/>
      <c r="Z15" s="92" t="s">
        <v>1519</v>
      </c>
      <c r="AA15" s="93"/>
      <c r="AC15" s="87" t="str">
        <f>IF(P15="","",IF(P15='G-1 All Habitats'!$X$3,H15-S15-T15,"None"))</f>
        <v>None</v>
      </c>
      <c r="AD15" s="88" t="str">
        <f>IFERROR(AC15*J15*L15*#REF!*O15,IF(P15="","","None"))</f>
        <v>None</v>
      </c>
      <c r="AF15" s="59" t="b">
        <f t="shared" si="0"/>
        <v>0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30">
      <c r="A16" s="52" t="str">
        <f>IFERROR(INDEX('G-1 All Habitats'!$AG$3:$AG$15,MATCH(E16,'G-1 All Habitats'!$AF$3:$AF$15,0)),"")</f>
        <v>Woodland_and_forest</v>
      </c>
      <c r="B16" s="52" t="str">
        <f>IFERROR(INDEX('G-8 Condition Look up'!$I$4:$I$131,MATCH(G16,'G-8 Condition Look up'!$A$4:$A$131,0)),"")</f>
        <v>Cond4</v>
      </c>
      <c r="D16" s="89">
        <v>6</v>
      </c>
      <c r="E16" s="91" t="s">
        <v>163</v>
      </c>
      <c r="F16" s="91" t="s">
        <v>182</v>
      </c>
      <c r="G16" s="75" t="str">
        <f>IFERROR(INDEX('G-1 All Habitats'!$B$3:$B$130,MATCH(F16,'G-1 All Habitats'!$A$3:$A$130,0)),"")</f>
        <v>Woodland and forest - Other woodland; mixed</v>
      </c>
      <c r="H16" s="76">
        <v>0.45</v>
      </c>
      <c r="I16" s="77" t="str">
        <f>IF(G16="","",VLOOKUP(G16,'G-1 All Habitats'!$B$2:$M$130,10,FALSE))</f>
        <v>Medium</v>
      </c>
      <c r="J16" s="78">
        <f>IFERROR(VLOOKUP(I16,'G-1 All Habitats'!$V$3:$W$7,2,FALSE),"")</f>
        <v>4</v>
      </c>
      <c r="K16" s="79" t="s">
        <v>121</v>
      </c>
      <c r="L16" s="78">
        <f>IFERROR(INDEX('G-8 Condition Look up'!$A$3:$H$131,MATCH(G16,'G-8 Condition Look up'!$A$3:$A$131,0),MATCH(K16,'G-8 Condition Look up'!$A$3:$H$3,0)),"")</f>
        <v>1.5</v>
      </c>
      <c r="M16" s="79" t="s">
        <v>970</v>
      </c>
      <c r="N16" s="365" t="str">
        <f>IF(M16="","",IF(VLOOKUP(M16,'G-3 Multipliers'!$L$3:$N$6,2,FALSE)=0,"Spatial Data Missing",VLOOKUP(M16,'G-3 Multipliers'!$L$3:$N$6,2,FALSE)))</f>
        <v>Low Strategic Significance</v>
      </c>
      <c r="O16" s="617">
        <f>IF(M16="","",IF(VLOOKUP(M16,'G-3 Multipliers'!$L$3:$N$6,3,FALSE)=0,"Spatial Data Missing",VLOOKUP(M16,'G-3 Multipliers'!$L$3:$N$6,3,FALSE)))</f>
        <v>1</v>
      </c>
      <c r="P16" s="80" t="str">
        <f>IFERROR(VLOOKUP(G16,'G-1 All Habitats'!$B$2:$M$130,12,FALSE),"")</f>
        <v>Same broad habitat or a higher distinctiveness habitat required</v>
      </c>
      <c r="Q16" s="81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2.7</v>
      </c>
      <c r="R16" s="55"/>
      <c r="S16" s="79">
        <v>0.45</v>
      </c>
      <c r="T16" s="82"/>
      <c r="U16" s="83">
        <f t="shared" si="3"/>
        <v>2.7</v>
      </c>
      <c r="V16" s="83">
        <f t="shared" si="4"/>
        <v>0</v>
      </c>
      <c r="W16" s="83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0</v>
      </c>
      <c r="X16" s="84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0</v>
      </c>
      <c r="Y16" s="82"/>
      <c r="Z16" s="92" t="s">
        <v>1520</v>
      </c>
      <c r="AA16" s="93"/>
      <c r="AC16" s="87" t="str">
        <f>IF(P16="","",IF(P16='G-1 All Habitats'!$X$3,H16-S16-T16,"None"))</f>
        <v>None</v>
      </c>
      <c r="AD16" s="88" t="str">
        <f>IFERROR(AC16*J16*L16*#REF!*O16,IF(P16="","","None"))</f>
        <v>None</v>
      </c>
      <c r="AF16" s="59" t="b">
        <f t="shared" si="0"/>
        <v>1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30">
      <c r="A17" s="52" t="str">
        <f>IFERROR(INDEX('G-1 All Habitats'!$AG$3:$AG$15,MATCH(E17,'G-1 All Habitats'!$AF$3:$AF$15,0)),"")</f>
        <v>Heathland_and_shrub</v>
      </c>
      <c r="B17" s="52" t="str">
        <f>IFERROR(INDEX('G-8 Condition Look up'!$I$4:$I$131,MATCH(G17,'G-8 Condition Look up'!$A$4:$A$131,0)),"")</f>
        <v>Cond4</v>
      </c>
      <c r="D17" s="89">
        <v>7</v>
      </c>
      <c r="E17" s="557" t="s">
        <v>164</v>
      </c>
      <c r="F17" s="91" t="s">
        <v>38</v>
      </c>
      <c r="G17" s="75" t="str">
        <f>IFERROR(INDEX('G-1 All Habitats'!$B$3:$B$130,MATCH(F17,'G-1 All Habitats'!$A$3:$A$130,0)),"")</f>
        <v>Heathland and shrub - Mixed scrub</v>
      </c>
      <c r="H17" s="76">
        <v>0.48</v>
      </c>
      <c r="I17" s="77" t="str">
        <f>IF(G17="","",VLOOKUP(G17,'G-1 All Habitats'!$B$2:$M$130,10,FALSE))</f>
        <v>Medium</v>
      </c>
      <c r="J17" s="78">
        <f>IFERROR(VLOOKUP(I17,'G-1 All Habitats'!$V$3:$W$7,2,FALSE),"")</f>
        <v>4</v>
      </c>
      <c r="K17" s="79" t="s">
        <v>2</v>
      </c>
      <c r="L17" s="78">
        <f>IFERROR(INDEX('G-8 Condition Look up'!$A$3:$H$131,MATCH(G17,'G-8 Condition Look up'!$A$3:$A$131,0),MATCH(K17,'G-8 Condition Look up'!$A$3:$H$3,0)),"")</f>
        <v>1</v>
      </c>
      <c r="M17" s="79" t="s">
        <v>970</v>
      </c>
      <c r="N17" s="365" t="str">
        <f>IF(M17="","",IF(VLOOKUP(M17,'G-3 Multipliers'!$L$3:$N$6,2,FALSE)=0,"Spatial Data Missing",VLOOKUP(M17,'G-3 Multipliers'!$L$3:$N$6,2,FALSE)))</f>
        <v>Low Strategic Significance</v>
      </c>
      <c r="O17" s="617">
        <f>IF(M17="","",IF(VLOOKUP(M17,'G-3 Multipliers'!$L$3:$N$6,3,FALSE)=0,"Spatial Data Missing",VLOOKUP(M17,'G-3 Multipliers'!$L$3:$N$6,3,FALSE)))</f>
        <v>1</v>
      </c>
      <c r="P17" s="80" t="str">
        <f>IFERROR(VLOOKUP(G17,'G-1 All Habitats'!$B$2:$M$130,12,FALSE),"")</f>
        <v>Same broad habitat or a higher distinctiveness habitat required</v>
      </c>
      <c r="Q17" s="81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1.92</v>
      </c>
      <c r="R17" s="55"/>
      <c r="S17" s="79"/>
      <c r="T17" s="82"/>
      <c r="U17" s="83">
        <f t="shared" si="3"/>
        <v>0</v>
      </c>
      <c r="V17" s="83">
        <f t="shared" si="4"/>
        <v>0</v>
      </c>
      <c r="W17" s="83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0.48</v>
      </c>
      <c r="X17" s="84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1.92</v>
      </c>
      <c r="Y17" s="82"/>
      <c r="Z17" s="92" t="s">
        <v>189</v>
      </c>
      <c r="AA17" s="93"/>
      <c r="AC17" s="87" t="str">
        <f>IF(P17="","",IF(P17='G-1 All Habitats'!$X$3,H17-S17-T17,"None"))</f>
        <v>None</v>
      </c>
      <c r="AD17" s="88" t="str">
        <f>IFERROR(AC17*J17*L17*#REF!*O17,IF(P17="","","None"))</f>
        <v>None</v>
      </c>
      <c r="AF17" s="59" t="b">
        <f t="shared" si="0"/>
        <v>0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ht="30">
      <c r="A18" s="52" t="str">
        <f>IFERROR(INDEX('G-1 All Habitats'!$AG$3:$AG$15,MATCH(E18,'G-1 All Habitats'!$AF$3:$AF$15,0)),"")</f>
        <v>Urban</v>
      </c>
      <c r="B18" s="52" t="str">
        <f>IFERROR(INDEX('G-8 Condition Look up'!$I$4:$I$131,MATCH(G18,'G-8 Condition Look up'!$A$4:$A$131,0)),"")</f>
        <v>Cond2</v>
      </c>
      <c r="D18" s="89">
        <v>8</v>
      </c>
      <c r="E18" s="91" t="s">
        <v>166</v>
      </c>
      <c r="F18" s="91" t="s">
        <v>203</v>
      </c>
      <c r="G18" s="75" t="str">
        <f>IFERROR(INDEX('G-1 All Habitats'!$B$3:$B$130,MATCH(F18,'G-1 All Habitats'!$A$3:$A$130,0)),"")</f>
        <v>Urban - Developed land; sealed surface</v>
      </c>
      <c r="H18" s="76">
        <v>0.78</v>
      </c>
      <c r="I18" s="77" t="str">
        <f>IF(G18="","",VLOOKUP(G18,'G-1 All Habitats'!$B$2:$M$130,10,FALSE))</f>
        <v>V.Low</v>
      </c>
      <c r="J18" s="78">
        <f>IFERROR(VLOOKUP(I18,'G-1 All Habitats'!$V$3:$W$7,2,FALSE),"")</f>
        <v>0</v>
      </c>
      <c r="K18" s="79" t="s">
        <v>119</v>
      </c>
      <c r="L18" s="78">
        <f>IFERROR(INDEX('G-8 Condition Look up'!$A$3:$H$131,MATCH(G18,'G-8 Condition Look up'!$A$3:$A$131,0),MATCH(K18,'G-8 Condition Look up'!$A$3:$H$3,0)),"")</f>
        <v>0</v>
      </c>
      <c r="M18" s="79" t="s">
        <v>970</v>
      </c>
      <c r="N18" s="365" t="str">
        <f>IF(M18="","",IF(VLOOKUP(M18,'G-3 Multipliers'!$L$3:$N$6,2,FALSE)=0,"Spatial Data Missing",VLOOKUP(M18,'G-3 Multipliers'!$L$3:$N$6,2,FALSE)))</f>
        <v>Low Strategic Significance</v>
      </c>
      <c r="O18" s="617">
        <f>IF(M18="","",IF(VLOOKUP(M18,'G-3 Multipliers'!$L$3:$N$6,3,FALSE)=0,"Spatial Data Missing",VLOOKUP(M18,'G-3 Multipliers'!$L$3:$N$6,3,FALSE)))</f>
        <v>1</v>
      </c>
      <c r="P18" s="80" t="str">
        <f>IFERROR(VLOOKUP(G18,'G-1 All Habitats'!$B$2:$M$130,12,FALSE),"")</f>
        <v>Compensation Not Required</v>
      </c>
      <c r="Q18" s="81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>0</v>
      </c>
      <c r="R18" s="55"/>
      <c r="S18" s="79">
        <v>0.78</v>
      </c>
      <c r="T18" s="82"/>
      <c r="U18" s="83">
        <f t="shared" si="3"/>
        <v>0</v>
      </c>
      <c r="V18" s="83">
        <f t="shared" si="4"/>
        <v>0</v>
      </c>
      <c r="W18" s="83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</v>
      </c>
      <c r="X18" s="84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>0</v>
      </c>
      <c r="Y18" s="82"/>
      <c r="Z18" s="92" t="s">
        <v>1521</v>
      </c>
      <c r="AA18" s="93"/>
      <c r="AC18" s="87" t="str">
        <f>IF(P18="","",IF(P18='G-1 All Habitats'!$X$3,H18-S18-T18,"None"))</f>
        <v>None</v>
      </c>
      <c r="AD18" s="88" t="str">
        <f>IFERROR(AC18*J18*L18*#REF!*O18,IF(P18="","","None"))</f>
        <v>None</v>
      </c>
      <c r="AF18" s="59" t="b">
        <f t="shared" si="0"/>
        <v>1</v>
      </c>
      <c r="AG18" s="59" t="b">
        <f t="shared" si="1"/>
        <v>0</v>
      </c>
      <c r="AH18" s="59" t="e">
        <f>IF(I18="","",IF(#REF!&gt;0,TRUE,FALSE))</f>
        <v>#REF!</v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ht="30">
      <c r="A19" s="52" t="str">
        <f>IFERROR(INDEX('G-1 All Habitats'!$AG$3:$AG$15,MATCH(E19,'G-1 All Habitats'!$AF$3:$AF$15,0)),"")</f>
        <v>Heathland_and_shrub</v>
      </c>
      <c r="B19" s="52" t="str">
        <f>IFERROR(INDEX('G-8 Condition Look up'!$I$4:$I$131,MATCH(G19,'G-8 Condition Look up'!$A$4:$A$131,0)),"")</f>
        <v>Cond4</v>
      </c>
      <c r="D19" s="89">
        <v>9</v>
      </c>
      <c r="E19" s="94" t="s">
        <v>164</v>
      </c>
      <c r="F19" s="91" t="s">
        <v>38</v>
      </c>
      <c r="G19" s="75" t="str">
        <f>IFERROR(INDEX('G-1 All Habitats'!$B$3:$B$130,MATCH(F19,'G-1 All Habitats'!$A$3:$A$130,0)),"")</f>
        <v>Heathland and shrub - Mixed scrub</v>
      </c>
      <c r="H19" s="76">
        <v>0.47</v>
      </c>
      <c r="I19" s="77" t="str">
        <f>IF(G19="","",VLOOKUP(G19,'G-1 All Habitats'!$B$2:$M$130,10,FALSE))</f>
        <v>Medium</v>
      </c>
      <c r="J19" s="78">
        <f>IFERROR(VLOOKUP(I19,'G-1 All Habitats'!$V$3:$W$7,2,FALSE),"")</f>
        <v>4</v>
      </c>
      <c r="K19" s="79" t="s">
        <v>2</v>
      </c>
      <c r="L19" s="78">
        <f>IFERROR(INDEX('G-8 Condition Look up'!$A$3:$H$131,MATCH(G19,'G-8 Condition Look up'!$A$3:$A$131,0),MATCH(K19,'G-8 Condition Look up'!$A$3:$H$3,0)),"")</f>
        <v>1</v>
      </c>
      <c r="M19" s="79" t="s">
        <v>970</v>
      </c>
      <c r="N19" s="365" t="str">
        <f>IF(M19="","",IF(VLOOKUP(M19,'G-3 Multipliers'!$L$3:$N$6,2,FALSE)=0,"Spatial Data Missing",VLOOKUP(M19,'G-3 Multipliers'!$L$3:$N$6,2,FALSE)))</f>
        <v>Low Strategic Significance</v>
      </c>
      <c r="O19" s="617">
        <f>IF(M19="","",IF(VLOOKUP(M19,'G-3 Multipliers'!$L$3:$N$6,3,FALSE)=0,"Spatial Data Missing",VLOOKUP(M19,'G-3 Multipliers'!$L$3:$N$6,3,FALSE)))</f>
        <v>1</v>
      </c>
      <c r="P19" s="80" t="str">
        <f>IFERROR(VLOOKUP(G19,'G-1 All Habitats'!$B$2:$M$130,12,FALSE),"")</f>
        <v>Same broad habitat or a higher distinctiveness habitat required</v>
      </c>
      <c r="Q19" s="81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>1.88</v>
      </c>
      <c r="R19" s="55"/>
      <c r="S19" s="79"/>
      <c r="T19" s="82">
        <v>0.47</v>
      </c>
      <c r="U19" s="83">
        <f t="shared" si="3"/>
        <v>0</v>
      </c>
      <c r="V19" s="83">
        <f t="shared" si="4"/>
        <v>1.88</v>
      </c>
      <c r="W19" s="83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0</v>
      </c>
      <c r="X19" s="84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>0</v>
      </c>
      <c r="Y19" s="82"/>
      <c r="Z19" s="92" t="s">
        <v>1522</v>
      </c>
      <c r="AA19" s="93"/>
      <c r="AC19" s="87" t="str">
        <f>IF(P19="","",IF(P19='G-1 All Habitats'!$X$3,H19-S19-T19,"None"))</f>
        <v>None</v>
      </c>
      <c r="AD19" s="88" t="str">
        <f>IFERROR(AC19*J19*L19*#REF!*O19,IF(P19="","","None"))</f>
        <v>None</v>
      </c>
      <c r="AF19" s="59" t="b">
        <f t="shared" si="0"/>
        <v>0</v>
      </c>
      <c r="AG19" s="59" t="b">
        <f t="shared" si="1"/>
        <v>1</v>
      </c>
      <c r="AH19" s="59" t="e">
        <f>IF(I19="","",IF(#REF!&gt;0,TRUE,FALSE))</f>
        <v>#REF!</v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.75" thickBot="1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.75" thickBot="1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105.01</v>
      </c>
      <c r="N259" s="55"/>
      <c r="P259" s="757"/>
      <c r="Q259" s="660">
        <f>IF('Detailed Results'!$K$40&gt;0,"Error",SUM(Q11:Q258))</f>
        <v>228.08799999999994</v>
      </c>
      <c r="R259" s="97"/>
      <c r="S259" s="614">
        <f>IF('Detailed Results'!$K$40&gt;0,"Error",SUM(S11:S258))</f>
        <v>3.0300000000000002</v>
      </c>
      <c r="T259" s="659">
        <f>IF('Detailed Results'!$K$40&gt;0,"Error",SUM(T11:T258))</f>
        <v>0.47</v>
      </c>
      <c r="U259" s="659">
        <f>IF('Detailed Results'!$K$40&gt;0,"Error",SUM(U11:U258))</f>
        <v>20.267999999999997</v>
      </c>
      <c r="V259" s="659">
        <f>IF('Detailed Results'!$K$40&gt;0,"Error",SUM(V11:V258))</f>
        <v>1.88</v>
      </c>
      <c r="W259" s="659">
        <f>IF('Detailed Results'!$K$40&gt;0,"Error",SUM(W11:W258))</f>
        <v>101.51</v>
      </c>
      <c r="X259" s="660">
        <f>IF('Detailed Results'!$K$40&gt;0,"Error",SUM(X11:X258))</f>
        <v>205.93999999999997</v>
      </c>
      <c r="AQ259" s="60">
        <f>SUM(AQ11:AQ258)</f>
        <v>0</v>
      </c>
    </row>
    <row r="260" spans="1:43">
      <c r="P260" s="53"/>
      <c r="Y260" s="98"/>
    </row>
    <row r="261" spans="1:43">
      <c r="D261" s="53"/>
      <c r="E261" s="53"/>
      <c r="F261" s="53"/>
    </row>
    <row r="262" spans="1:43">
      <c r="D262" s="53"/>
      <c r="E262" s="53"/>
      <c r="F262" s="53"/>
    </row>
    <row r="263" spans="1:43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/>
  </sheetData>
  <sheetProtection password="E2E7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>
      <formula1>INDIRECT(A11)</formula1>
    </dataValidation>
    <dataValidation allowBlank="1" showErrorMessage="1" errorTitle="Invalid Habitat" error="Select from List" sqref="G11:G258"/>
    <dataValidation type="list" allowBlank="1" showInputMessage="1" showErrorMessage="1" sqref="K11:K258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>
          <x14:formula1>
            <xm:f>'G-3 Multipliers'!$L$4:$L$6</xm:f>
          </x14:formula1>
          <xm:sqref>M11:M258</xm:sqref>
        </x14:dataValidation>
        <x14:dataValidation type="list" allowBlank="1" showInputMessage="1" showErrorMessage="1">
          <x14:formula1>
            <xm:f>'G-1 All Habitats'!$AF$3:$AF$15</xm:f>
          </x14:formula1>
          <xm:sqref>E11:E258</xm:sqref>
        </x14:dataValidation>
        <x14:dataValidation type="list" allowBlank="1" showInputMessage="1" showErrorMessage="1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pati-svc</cp:lastModifiedBy>
  <cp:lastPrinted>2020-02-19T11:28:27Z</cp:lastPrinted>
  <dcterms:created xsi:type="dcterms:W3CDTF">2018-04-09T09:41:18Z</dcterms:created>
  <dcterms:modified xsi:type="dcterms:W3CDTF">2021-12-09T22:56:52Z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